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39585775-681B-EC4C-94AC-D0919BA9A5F3}" xr6:coauthVersionLast="36" xr6:coauthVersionMax="36" xr10:uidLastSave="{00000000-0000-0000-0000-000000000000}"/>
  <bookViews>
    <workbookView xWindow="3260" yWindow="500" windowWidth="25120" windowHeight="16820" tabRatio="500" activeTab="2" xr2:uid="{00000000-000D-0000-FFFF-FFFF00000000}"/>
  </bookViews>
  <sheets>
    <sheet name="Volume" sheetId="1" r:id="rId1"/>
    <sheet name="Compressor" sheetId="14" r:id="rId2"/>
    <sheet name="Volume-radialflow" sheetId="26" r:id="rId3"/>
    <sheet name="isotherm" sheetId="18" r:id="rId4"/>
    <sheet name="Model-O24U" sheetId="21" r:id="rId5"/>
    <sheet name="Model-tester" sheetId="24" r:id="rId6"/>
    <sheet name="model-puffer" sheetId="23" r:id="rId7"/>
    <sheet name="Model-VPSA" sheetId="22" r:id="rId8"/>
    <sheet name="BOMcost" sheetId="25" r:id="rId9"/>
    <sheet name="intercooler" sheetId="10" r:id="rId10"/>
    <sheet name="Heater" sheetId="6" r:id="rId11"/>
    <sheet name="Valves" sheetId="2" r:id="rId12"/>
    <sheet name="Materials" sheetId="9" r:id="rId13"/>
    <sheet name="Things I have built" sheetId="7" r:id="rId14"/>
    <sheet name="vacuum +velocity" sheetId="5" r:id="rId15"/>
    <sheet name="Column HW" sheetId="8" r:id="rId16"/>
    <sheet name="electrical" sheetId="3" r:id="rId17"/>
    <sheet name="bom" sheetId="4" r:id="rId18"/>
    <sheet name="EquipmentList" sheetId="11" r:id="rId19"/>
    <sheet name="RTU config" sheetId="12" r:id="rId20"/>
    <sheet name="O2 RTU" sheetId="13" r:id="rId2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6" l="1"/>
  <c r="D15" i="26"/>
  <c r="D16" i="26" s="1"/>
  <c r="N110" i="1"/>
  <c r="N108" i="1"/>
  <c r="P70" i="1"/>
  <c r="P71" i="1" s="1"/>
  <c r="P72" i="1" s="1"/>
  <c r="P73" i="1" s="1"/>
  <c r="N104" i="1"/>
  <c r="R69" i="1"/>
  <c r="R70" i="1" s="1"/>
  <c r="O69" i="1"/>
  <c r="O70" i="1" s="1"/>
  <c r="N70" i="1"/>
  <c r="S69" i="1"/>
  <c r="S70" i="1" s="1"/>
  <c r="Q70" i="1"/>
  <c r="M70" i="1"/>
  <c r="D65" i="1"/>
  <c r="I71" i="1" s="1"/>
  <c r="I62" i="1"/>
  <c r="I63" i="1" s="1"/>
  <c r="I65" i="1" s="1"/>
  <c r="I66" i="1" s="1"/>
  <c r="G63" i="1"/>
  <c r="G65" i="1" s="1"/>
  <c r="G66" i="1" s="1"/>
  <c r="H63" i="1"/>
  <c r="H65" i="1" s="1"/>
  <c r="H66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Q10" i="2"/>
  <c r="Q14" i="2" s="1"/>
  <c r="Q11" i="2"/>
  <c r="P11" i="2"/>
  <c r="P10" i="2"/>
  <c r="P14" i="2" s="1"/>
  <c r="O11" i="2"/>
  <c r="O10" i="2"/>
  <c r="O14" i="2" s="1"/>
  <c r="O29" i="1"/>
  <c r="G47" i="1"/>
  <c r="I47" i="1" s="1"/>
  <c r="J47" i="1" s="1"/>
  <c r="K47" i="1" s="1"/>
  <c r="G35" i="1" l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S71" i="1"/>
  <c r="S72" i="1" s="1"/>
  <c r="S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R58" i="1"/>
  <c r="P58" i="1"/>
  <c r="R48" i="1"/>
  <c r="R50" i="1" s="1"/>
  <c r="R56" i="1" s="1"/>
  <c r="P48" i="1"/>
  <c r="P50" i="1" s="1"/>
  <c r="P56" i="1" s="1"/>
  <c r="Q58" i="1"/>
  <c r="Q48" i="1"/>
  <c r="Q50" i="1" s="1"/>
  <c r="Q56" i="1" s="1"/>
  <c r="G55" i="1"/>
  <c r="I55" i="1" s="1"/>
  <c r="J55" i="1" s="1"/>
  <c r="K55" i="1" s="1"/>
  <c r="G50" i="1"/>
  <c r="I50" i="1" s="1"/>
  <c r="J50" i="1" s="1"/>
  <c r="K50" i="1" s="1"/>
  <c r="F27" i="23"/>
  <c r="F28" i="23" s="1"/>
  <c r="Q13" i="2"/>
  <c r="P13" i="2"/>
  <c r="O13" i="2"/>
  <c r="G46" i="1"/>
  <c r="I46" i="1" s="1"/>
  <c r="J46" i="1" s="1"/>
  <c r="K46" i="1" s="1"/>
  <c r="C37" i="21"/>
  <c r="I81" i="1" l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G28" i="18" s="1"/>
  <c r="F30" i="18"/>
  <c r="F27" i="18"/>
  <c r="E30" i="18"/>
  <c r="E27" i="18"/>
  <c r="D30" i="18"/>
  <c r="D27" i="18"/>
  <c r="C23" i="18"/>
  <c r="G19" i="25"/>
  <c r="D19" i="25"/>
  <c r="E16" i="25"/>
  <c r="E19" i="25" s="1"/>
  <c r="F16" i="25"/>
  <c r="F19" i="25" s="1"/>
  <c r="G16" i="25"/>
  <c r="D16" i="25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31" i="14"/>
  <c r="D26" i="14"/>
  <c r="F33" i="1"/>
  <c r="E33" i="1"/>
  <c r="F19" i="1"/>
  <c r="E19" i="1"/>
  <c r="F30" i="1"/>
  <c r="E30" i="1"/>
  <c r="F29" i="1"/>
  <c r="E29" i="1"/>
  <c r="G43" i="1" l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E28" i="18"/>
  <c r="E31" i="18"/>
  <c r="E34" i="18" s="1"/>
  <c r="G31" i="18"/>
  <c r="D31" i="18"/>
  <c r="G34" i="18"/>
  <c r="F34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O79" i="1" l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D34" i="24" l="1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C15" i="10" l="1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3" i="2" s="1"/>
  <c r="K11" i="2"/>
  <c r="L10" i="2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1" i="2"/>
  <c r="H10" i="2"/>
  <c r="H14" i="2" s="1"/>
  <c r="H11" i="2"/>
  <c r="O15" i="1"/>
  <c r="O20" i="1" s="1"/>
  <c r="D13" i="6"/>
  <c r="D16" i="6"/>
  <c r="E8" i="3"/>
  <c r="B8" i="3"/>
  <c r="E24" i="1"/>
  <c r="F24" i="1"/>
  <c r="F21" i="1"/>
  <c r="E21" i="1"/>
  <c r="G18" i="1" l="1"/>
  <c r="I18" i="1" s="1"/>
  <c r="J18" i="1" s="1"/>
  <c r="G24" i="1"/>
  <c r="G9" i="1"/>
  <c r="M9" i="1" s="1"/>
  <c r="G17" i="1"/>
  <c r="M17" i="1" s="1"/>
  <c r="L13" i="2"/>
  <c r="K14" i="2"/>
  <c r="G14" i="2"/>
  <c r="G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<sst xmlns="http://schemas.openxmlformats.org/spreadsheetml/2006/main" count="1624" uniqueCount="1011">
  <si>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</si>
  <si>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</si>
  <si>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</si>
  <si>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</si>
  <si>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</si>
  <si>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</si>
  <si>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</si>
  <si>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</si>
  <si>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</si>
  <si>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</si>
  <si>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</si>
  <si>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</si>
  <si>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</si>
  <si>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</si>
  <si>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</si>
  <si>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</si>
  <si>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</si>
  <si>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</si>
  <si>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</si>
  <si>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</si>
  <si>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</si>
  <si>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</si>
  <si>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</si>
  <si>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</si>
  <si>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</si>
  <si>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</si>
  <si>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</si>
  <si>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</si>
  <si>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</si>
  <si>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</si>
  <si>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</si>
  <si>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</si>
  <si>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</si>
  <si>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</si>
  <si>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</si>
  <si>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</si>
  <si>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</si>
  <si>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</si>
  <si>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</si>
  <si>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</si>
  <si>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</si>
  <si>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</si>
  <si>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</si>
  <si>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</si>
  <si>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</si>
  <si>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</si>
  <si>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</si>
  <si>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</si>
  <si>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</si>
  <si>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</si>
  <si>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</si>
  <si>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</si>
  <si>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</si>
  <si>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</si>
  <si>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</si>
  <si>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</si>
  <si>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</si>
  <si>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</si>
  <si>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</si>
  <si>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</si>
  <si>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</si>
  <si>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</si>
  <si>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</si>
  <si>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</si>
  <si>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</si>
  <si>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</si>
  <si>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</si>
  <si>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</si>
  <si>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</si>
  <si>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</si>
  <si>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</si>
  <si>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</si>
  <si>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</si>
  <si>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</si>
  <si>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</si>
  <si>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</si>
  <si>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</si>
  <si>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</si>
  <si>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</si>
  <si>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</si>
  <si>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</si>
  <si>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</si>
  <si>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</si>
  <si>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</si>
  <si>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</si>
  <si>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</si>
  <si>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</si>
  <si>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</si>
  <si>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</si>
  <si>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</si>
  <si>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</si>
  <si>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</si>
  <si>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</si>
  <si>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</si>
  <si>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</si>
  <si>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</si>
  <si>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</si>
  <si>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</si>
  <si>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</si>
  <si>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</si>
  <si>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</si>
  <si>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</si>
  <si>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</si>
  <si>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</si>
  <si>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</si>
  <si>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</si>
  <si>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</si>
  <si>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</si>
  <si>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</si>
  <si>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</si>
  <si>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</si>
  <si>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</si>
  <si>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</si>
  <si>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</si>
  <si>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</si>
  <si>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</si>
  <si>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</si>
  <si>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</si>
  <si>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</si>
  <si>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</si>
  <si>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</si>
  <si>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</si>
  <si>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</si>
  <si>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</si>
  <si>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</si>
  <si>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</si>
  <si>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</si>
  <si>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</si>
  <si>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</si>
  <si>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</si>
  <si>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</si>
  <si>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</si>
  <si>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</si>
  <si>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</si>
  <si>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</si>
  <si>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</si>
  <si>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</si>
  <si>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</si>
  <si>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</si>
  <si>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</si>
  <si>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</si>
  <si>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</si>
  <si>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</si>
  <si>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</si>
  <si>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</si>
  <si>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</si>
  <si>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</si>
  <si>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</si>
  <si>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</si>
  <si>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</si>
  <si>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</si>
  <si>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</si>
  <si>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</si>
  <si>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</si>
  <si>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</si>
  <si>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</si>
  <si>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</si>
  <si>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</si>
  <si>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</si>
  <si>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</si>
  <si>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</si>
  <si>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</si>
  <si>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</si>
  <si>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</si>
  <si>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</si>
  <si>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</si>
  <si>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</si>
  <si>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</si>
  <si>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</si>
  <si>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</si>
  <si>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</si>
  <si>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</si>
  <si>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</si>
  <si>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</si>
  <si>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</si>
  <si>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</si>
  <si>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</si>
  <si>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</si>
  <si>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</si>
  <si>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</si>
  <si>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</si>
  <si>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</si>
  <si>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</si>
  <si>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</si>
  <si>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</si>
  <si>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</si>
  <si>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</si>
  <si>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</si>
  <si>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</si>
  <si>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</si>
  <si>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</si>
  <si>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</si>
  <si>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</si>
  <si>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</si>
  <si>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</si>
  <si>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</si>
  <si>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</si>
  <si>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</si>
  <si>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</si>
  <si>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</si>
  <si>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</si>
  <si>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</si>
  <si>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</si>
  <si>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</si>
  <si>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</si>
  <si>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</si>
  <si>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</si>
  <si>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</si>
  <si>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</si>
  <si>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</si>
  <si>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</si>
  <si>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</si>
  <si>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</si>
  <si>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</si>
  <si>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</si>
  <si>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</si>
  <si>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</si>
  <si>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</si>
  <si>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</si>
  <si>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</si>
  <si>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</si>
  <si>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</si>
  <si>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</si>
  <si>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</si>
  <si>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</si>
  <si>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</si>
  <si>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</si>
  <si>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</si>
  <si>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</si>
  <si>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</si>
  <si>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</si>
  <si>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</si>
  <si>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</si>
  <si>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</si>
  <si>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</si>
  <si>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</si>
  <si>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</si>
  <si>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</si>
  <si>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</si>
  <si>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</si>
  <si>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</si>
  <si>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</si>
  <si>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</si>
  <si>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</si>
  <si>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</si>
  <si>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</si>
  <si>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</si>
  <si>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</si>
  <si>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</si>
  <si>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</si>
  <si>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</si>
  <si>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</si>
  <si>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</si>
  <si>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</si>
  <si>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</si>
  <si>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</si>
  <si>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</si>
  <si>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</si>
  <si>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</si>
  <si>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</si>
  <si>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</si>
  <si>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</si>
  <si>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</si>
  <si>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</si>
  <si>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</si>
  <si>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</si>
  <si>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</si>
  <si>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</si>
  <si>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</si>
  <si>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</si>
  <si>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</si>
  <si>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</si>
  <si>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</si>
  <si>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</si>
  <si>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</si>
  <si>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</si>
  <si>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</si>
  <si>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</si>
  <si>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</si>
  <si>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</si>
  <si>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</si>
  <si>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</si>
  <si>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</si>
  <si>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</si>
  <si>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</si>
  <si>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</si>
  <si>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</si>
  <si>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</si>
  <si>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</si>
  <si>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</si>
  <si>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</si>
  <si>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</si>
  <si>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</si>
  <si>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</si>
  <si>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</si>
  <si>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</si>
  <si>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</si>
  <si>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</si>
  <si>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</si>
  <si>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</si>
  <si>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</si>
  <si>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</si>
  <si>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</si>
  <si>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</si>
  <si>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</si>
  <si>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</si>
  <si>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</si>
  <si>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</si>
  <si>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</si>
  <si>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</si>
  <si>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</si>
  <si>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</si>
  <si>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</si>
  <si>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</si>
  <si>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</si>
  <si>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</si>
  <si>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</si>
  <si>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</si>
  <si>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</si>
  <si>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</si>
  <si>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</si>
  <si>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</si>
  <si>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</si>
  <si>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</si>
  <si>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</si>
  <si>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</si>
  <si>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</si>
  <si>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</si>
  <si>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</si>
  <si>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</si>
  <si>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</si>
  <si>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</si>
  <si>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</si>
  <si>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</si>
  <si>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</si>
  <si>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</si>
  <si>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</si>
  <si>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</si>
  <si>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</si>
  <si>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</si>
  <si>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</si>
  <si>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</si>
  <si>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</si>
  <si>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</si>
  <si>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</si>
  <si>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</si>
  <si>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</si>
  <si>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</si>
  <si>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</si>
  <si>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</si>
  <si>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</si>
  <si>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</si>
  <si>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</si>
  <si>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</si>
  <si>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</si>
  <si>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</si>
  <si>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</si>
  <si>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</si>
  <si>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</si>
  <si>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</si>
  <si>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</si>
  <si>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</si>
  <si>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</si>
  <si>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</si>
  <si>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</si>
  <si>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</si>
  <si>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</si>
  <si>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</si>
  <si>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</si>
  <si>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</si>
  <si>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</si>
  <si>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</si>
  <si>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</si>
  <si>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</si>
  <si>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</si>
  <si>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</si>
  <si>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</si>
  <si>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</si>
  <si>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</si>
  <si>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</si>
  <si>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</si>
  <si>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</si>
  <si>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</si>
  <si>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</si>
  <si>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</si>
  <si>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</si>
  <si>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</si>
  <si>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</si>
  <si>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</si>
  <si>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</si>
  <si>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</si>
  <si>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</si>
  <si>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</si>
  <si>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</si>
  <si>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</si>
  <si>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</si>
  <si>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</si>
  <si>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</si>
  <si>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</si>
  <si>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</si>
  <si>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</si>
  <si>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</si>
  <si>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</si>
  <si>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</si>
  <si>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</si>
  <si>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</si>
  <si>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</si>
  <si>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</si>
  <si>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</si>
  <si>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</si>
  <si>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</si>
  <si>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</si>
  <si>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</si>
  <si>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</si>
  <si>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</si>
  <si>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</si>
  <si>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</si>
  <si>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</si>
  <si>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</si>
  <si>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</si>
  <si>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</si>
  <si>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</si>
  <si>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</si>
  <si>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</si>
  <si>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</si>
  <si>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</si>
  <si>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</si>
  <si>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</si>
  <si>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</si>
  <si>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</si>
  <si>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</si>
  <si>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</si>
  <si>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</si>
  <si>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</si>
  <si>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</si>
  <si>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</si>
  <si>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</si>
  <si>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</si>
  <si>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</si>
  <si>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</si>
  <si>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</si>
  <si>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</si>
  <si>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</si>
  <si>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</si>
  <si>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</si>
  <si>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</si>
  <si>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</si>
  <si>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</si>
  <si>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</si>
  <si>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</si>
  <si>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</si>
  <si>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</si>
  <si>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</si>
  <si>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</si>
  <si>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</si>
  <si>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</si>
  <si>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</si>
  <si>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</si>
  <si>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</si>
  <si>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</si>
  <si>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</si>
  <si>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</si>
  <si>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</si>
  <si>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</si>
  <si>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</si>
  <si>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</si>
  <si>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</si>
  <si>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</si>
  <si>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</si>
  <si>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</si>
  <si>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</si>
  <si>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</si>
  <si>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</si>
  <si>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</si>
  <si>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</si>
  <si>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</si>
  <si>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</si>
  <si>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</si>
  <si>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</si>
  <si>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</si>
  <si>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</si>
  <si>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</si>
  <si>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</si>
  <si>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</si>
  <si>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</si>
  <si>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</si>
  <si>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</si>
  <si>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</si>
  <si>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</si>
  <si>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</si>
  <si>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</si>
  <si>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</si>
  <si>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</si>
  <si>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</si>
  <si>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</si>
  <si>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</si>
  <si>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</si>
  <si>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</si>
  <si>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</si>
  <si>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</si>
  <si>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</si>
  <si>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</si>
  <si>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</si>
  <si>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</si>
  <si>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</si>
  <si>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</si>
  <si>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</si>
  <si>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</si>
  <si>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</si>
  <si>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</si>
  <si>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</si>
  <si>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</si>
  <si>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</si>
  <si>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</si>
  <si>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</si>
  <si>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</si>
  <si>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</si>
  <si>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</si>
  <si>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</si>
  <si>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</si>
  <si>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</si>
  <si>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</si>
  <si>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</si>
  <si>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</si>
  <si>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</si>
  <si>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</si>
  <si>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</si>
  <si>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</si>
  <si>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</si>
  <si>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</si>
  <si>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</si>
  <si>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</si>
  <si>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</si>
  <si>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</si>
  <si>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</si>
  <si>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</si>
  <si>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</si>
  <si>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</si>
  <si>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</si>
  <si>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</si>
  <si>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</si>
  <si>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</si>
  <si>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</si>
  <si>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</si>
  <si>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</si>
  <si>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</si>
  <si>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</si>
  <si>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</si>
  <si>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</si>
  <si>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</si>
  <si>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</si>
  <si>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</si>
  <si>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</si>
  <si>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</si>
  <si>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</si>
  <si>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</si>
  <si>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</si>
  <si>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</si>
  <si>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</si>
  <si>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</si>
  <si>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</si>
  <si>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</si>
  <si>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</si>
  <si>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</si>
  <si>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</si>
  <si>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</si>
  <si>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</si>
  <si>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</si>
  <si>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</si>
  <si>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</si>
  <si>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</si>
  <si>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</si>
  <si>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</si>
  <si>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</si>
  <si>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</si>
  <si>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</si>
  <si>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</si>
  <si>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</si>
  <si>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</si>
  <si>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</si>
  <si>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</si>
  <si>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</si>
  <si>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</si>
  <si>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</si>
  <si>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</si>
  <si>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</si>
  <si>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</si>
  <si>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</si>
  <si>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</si>
  <si>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</si>
  <si>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</si>
  <si>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</si>
  <si>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</si>
  <si>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</si>
  <si>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</si>
  <si>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</si>
  <si>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</si>
  <si>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</si>
  <si>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</si>
  <si>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</si>
  <si>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</si>
  <si>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</si>
  <si>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</si>
  <si>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</si>
  <si>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</si>
  <si>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</si>
  <si>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</si>
  <si>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</si>
  <si>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</si>
  <si>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</si>
  <si>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</si>
  <si>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</si>
  <si>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</si>
  <si>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</si>
  <si>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</si>
  <si>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</si>
  <si>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</si>
  <si>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</si>
  <si>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</si>
  <si>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</si>
  <si>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</si>
  <si>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</si>
  <si>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</si>
  <si>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</si>
  <si>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</si>
  <si>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</si>
  <si>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</si>
  <si>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</si>
  <si>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</si>
  <si>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</si>
  <si>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</si>
  <si>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</si>
  <si>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</si>
  <si>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</si>
  <si>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</si>
  <si>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</si>
  <si>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</si>
  <si>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</si>
  <si>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</si>
  <si>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</si>
  <si>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</si>
  <si>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</si>
  <si>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</si>
  <si>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</si>
  <si>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</si>
  <si>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</si>
  <si>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</si>
  <si>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</si>
  <si>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</si>
  <si>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</si>
  <si>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</si>
  <si>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</si>
  <si>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</si>
  <si>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</si>
  <si>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</si>
  <si>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</si>
  <si>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</si>
  <si>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</si>
  <si>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</si>
  <si>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</si>
  <si>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</si>
  <si>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</si>
  <si>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</si>
  <si>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</si>
  <si>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</si>
  <si>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</si>
  <si>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</si>
  <si>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</si>
  <si>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</si>
  <si>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</si>
  <si>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</si>
  <si>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</si>
  <si>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</si>
  <si>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</si>
  <si>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</si>
  <si>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</si>
  <si>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</si>
  <si>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</si>
  <si>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</si>
  <si>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</si>
  <si>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</si>
  <si>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</si>
  <si>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</si>
  <si>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</si>
  <si>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</si>
  <si>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</si>
  <si>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</si>
  <si>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</si>
  <si>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</si>
  <si>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</si>
  <si>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</si>
  <si>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</si>
  <si>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</si>
  <si>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</si>
  <si>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</si>
  <si>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</si>
  <si>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</si>
  <si>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</si>
  <si>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</si>
  <si>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</si>
  <si>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</si>
  <si>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</si>
  <si>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</si>
  <si>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</si>
  <si>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</si>
  <si>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</si>
  <si>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</si>
  <si>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</si>
  <si>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</si>
  <si>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</si>
  <si>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</si>
  <si>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</si>
  <si>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</si>
  <si>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</si>
  <si>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</si>
  <si>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</si>
  <si>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</si>
  <si>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</si>
  <si>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</si>
  <si>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</si>
  <si>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</si>
  <si>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</si>
  <si>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</si>
  <si>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</si>
  <si>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</si>
  <si>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</si>
  <si>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</si>
  <si>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</si>
  <si>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</si>
  <si>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</si>
  <si>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</si>
  <si>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</si>
  <si>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</si>
  <si>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</si>
  <si>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</si>
  <si>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</si>
  <si>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</si>
  <si>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</si>
  <si>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</si>
  <si>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</si>
  <si>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</si>
  <si>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</si>
  <si>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</si>
  <si>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</si>
  <si>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</si>
  <si>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</si>
  <si>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</si>
  <si>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</si>
  <si>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</si>
  <si>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</si>
  <si>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</si>
  <si>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</si>
  <si>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</si>
  <si>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</si>
  <si>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</si>
  <si>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</si>
  <si>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</si>
  <si>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</si>
  <si>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</si>
  <si>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</si>
  <si>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</si>
  <si>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</si>
  <si>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</si>
  <si>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</si>
  <si>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</si>
  <si>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</si>
  <si>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</si>
  <si>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</si>
  <si>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</si>
  <si>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</si>
  <si>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</si>
  <si>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</si>
  <si>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</si>
  <si>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</si>
  <si>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</si>
  <si>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</si>
  <si>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</si>
  <si>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</si>
  <si>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</si>
  <si>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</si>
  <si>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</si>
  <si>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</si>
  <si>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</si>
  <si>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</si>
  <si>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</si>
  <si>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</si>
  <si>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</si>
  <si>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</si>
  <si>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</si>
  <si>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</si>
  <si>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</si>
  <si>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</si>
  <si>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</si>
  <si>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</si>
  <si>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</si>
  <si>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</si>
  <si>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</si>
  <si>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</si>
  <si>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</si>
  <si>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</si>
  <si>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</si>
  <si>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</si>
  <si>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</si>
  <si>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</si>
  <si>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</si>
  <si>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</si>
  <si>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</si>
  <si>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</si>
  <si>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</si>
  <si>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</si>
  <si>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</si>
  <si>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</si>
  <si>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</si>
  <si>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</si>
  <si>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</si>
  <si>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</si>
  <si>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</si>
  <si>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</si>
  <si>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</si>
  <si>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</si>
  <si>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</si>
  <si>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</si>
  <si>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</si>
  <si>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</si>
  <si>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</si>
  <si>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</si>
  <si>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</si>
  <si>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</si>
  <si>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</si>
  <si>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</si>
  <si>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</si>
  <si>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</si>
  <si>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</si>
  <si>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</si>
  <si>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</si>
  <si>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</si>
  <si>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</si>
  <si>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</si>
  <si>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</si>
  <si>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</si>
  <si>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</si>
  <si>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</si>
  <si>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</si>
  <si>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</si>
  <si>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</si>
  <si>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</si>
  <si>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</si>
  <si>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</si>
  <si>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</si>
  <si>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</si>
  <si>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</si>
  <si>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</si>
  <si>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</si>
  <si>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</si>
  <si>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</si>
  <si>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</si>
  <si>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</si>
  <si>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</si>
  <si>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</si>
  <si>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</si>
  <si>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</si>
  <si>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</si>
  <si>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</si>
  <si>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</si>
  <si>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</si>
  <si>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</si>
  <si>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</si>
  <si>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</si>
  <si>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</si>
  <si>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</si>
  <si>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</si>
  <si>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</si>
  <si>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</si>
  <si>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</si>
  <si>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</si>
  <si>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</si>
  <si>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</si>
  <si>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Cutom compressor/Composite column</t>
  </si>
  <si>
    <t>200 lpm compressor/Thomas 2585</t>
  </si>
  <si>
    <t>DC unit/ tiny AC</t>
  </si>
  <si>
    <t>3.3 lpm ZW280</t>
  </si>
  <si>
    <t>1.5x Na-X + 0.5x Li-X</t>
  </si>
  <si>
    <t>Large VIOT compressor + Vac or Custom</t>
  </si>
  <si>
    <t>O2 lpm</t>
  </si>
  <si>
    <t>Air lpm</t>
  </si>
  <si>
    <t>Zeolite sieve</t>
  </si>
  <si>
    <t>Zeolite max</t>
  </si>
  <si>
    <t>litres</t>
  </si>
  <si>
    <t>PSA + Purge</t>
  </si>
  <si>
    <t>ZW280</t>
  </si>
  <si>
    <t>Thomas2660</t>
  </si>
  <si>
    <t>Welch 2585</t>
  </si>
  <si>
    <t>12cfm</t>
  </si>
  <si>
    <t>VPSA single</t>
  </si>
  <si>
    <t>VPSA N+1</t>
  </si>
  <si>
    <t>l/(min*kg)</t>
  </si>
  <si>
    <t>200 lpm/50Hz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</si>
  <si>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</si>
  <si>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</si>
  <si>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</si>
  <si>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</si>
  <si>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</si>
  <si>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</si>
  <si>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</si>
  <si>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</si>
  <si>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</si>
  <si>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</si>
  <si>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</si>
  <si>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</si>
  <si>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</si>
  <si>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</si>
  <si>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</si>
  <si>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</si>
  <si>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</si>
  <si>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</si>
  <si>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</si>
  <si>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</si>
  <si>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</si>
  <si>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</si>
  <si>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</si>
  <si>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</si>
  <si>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</si>
  <si>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</si>
  <si>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</si>
  <si>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</si>
  <si>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</si>
  <si>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</si>
  <si>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</si>
  <si>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</si>
  <si>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</si>
  <si>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</si>
  <si>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</si>
  <si>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</si>
  <si>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</si>
  <si>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</si>
  <si>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</si>
  <si>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</si>
  <si>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</si>
  <si>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</si>
  <si>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</si>
  <si>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</si>
  <si>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</si>
  <si>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</si>
  <si>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</si>
  <si>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</si>
  <si>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2660,2:1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</si>
  <si>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</si>
  <si>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</si>
  <si>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</si>
  <si>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</si>
  <si>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</si>
  <si>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</si>
  <si>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</si>
  <si>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</si>
  <si>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</si>
  <si>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</si>
  <si>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</si>
  <si>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</si>
  <si>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</si>
  <si>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</si>
  <si>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</si>
  <si>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</si>
  <si>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</si>
  <si>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</si>
  <si>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>Audio design</t>
  </si>
  <si>
    <t>Switching system for audio demo</t>
  </si>
  <si>
    <t>Audio Amp</t>
  </si>
  <si>
    <t>Tube amp hacks and builds in HS</t>
  </si>
  <si>
    <t>NKANAL and PC GUI</t>
  </si>
  <si>
    <t>PC Software</t>
  </si>
  <si>
    <t>Auto Engr</t>
  </si>
  <si>
    <t>Auto Projects</t>
  </si>
  <si>
    <t>Computer Arch</t>
  </si>
  <si>
    <t>1980-1983</t>
  </si>
  <si>
    <t>1978-1980</t>
  </si>
  <si>
    <t>1970-1975</t>
  </si>
  <si>
    <t>1985-1987</t>
  </si>
  <si>
    <t>1987-1989</t>
  </si>
  <si>
    <t>1989-1995</t>
  </si>
  <si>
    <t>Fault tolerant computing, system architecture, quantitative architecture analysis, memory system design (MMU to VSM), system level product development,</t>
  </si>
  <si>
    <t>CPU Microarchitecture, high speed digital circuit design, design for test and reliability, board level produt development</t>
  </si>
  <si>
    <t>PC software development for invoices and gas custody transfer, tank report proxy</t>
  </si>
  <si>
    <t>Process Control</t>
  </si>
  <si>
    <t>System architecture across product lines, system modeling and simulation, performance and benchmarking, managing a department</t>
  </si>
  <si>
    <t>Analytic performance analysis an modeling, workload and memory system interaction, hardware and software scalability</t>
  </si>
  <si>
    <t>1996-2000</t>
  </si>
  <si>
    <t>2000-2006</t>
  </si>
  <si>
    <t>2006-2012</t>
  </si>
  <si>
    <t>What I Learned</t>
  </si>
  <si>
    <t>Fortran</t>
  </si>
  <si>
    <t>Strength of Materials, Automotive engineering, chassis design, millwright techniques, welding and brazing, working with fiberglass</t>
  </si>
  <si>
    <t>PC board design and fabrication, audio circuits</t>
  </si>
  <si>
    <t>2000-2012</t>
  </si>
  <si>
    <t>Computer architecture research, technology and architecture, protocol design and analysis, high performance shared memory system design</t>
  </si>
  <si>
    <t>2005-2012</t>
  </si>
  <si>
    <t>Advanced server memory systems, solid state storage and scalable servers</t>
  </si>
  <si>
    <t>Audio recording and production, vintage audio gear, recording consoles</t>
  </si>
  <si>
    <t>Professional audio design and analysis, vacuum tube and hybrid, signal quality and noise analysis,  microphone amplifiers and signal compressors, design and production</t>
  </si>
  <si>
    <t xml:space="preserve">Software development for PC systems, </t>
  </si>
  <si>
    <t>Numerical techniques for graph analysis and network reduction</t>
  </si>
  <si>
    <t>Basic electronic,s analog, audio and TV circuts, color TV repair, audio amplifier and radio work</t>
  </si>
  <si>
    <t>1977-1980</t>
  </si>
  <si>
    <t>Electrical Systems</t>
  </si>
  <si>
    <t xml:space="preserve">Residential, commercial, and indistrial electrical systems, low voltage (480V), technical work, installation, and maintenance. Generators, motor controls, and switchgear to ~1000 KW, offshore </t>
  </si>
  <si>
    <t>1980-1985</t>
  </si>
  <si>
    <t>Process controls and instrumentation, safety systems, rigorous testing methods, field experience, product design, PLC and digital systems, large scale systems</t>
  </si>
  <si>
    <t>Platform Electrician,  industrial control systems, mechanical systems, refrigeration and air handling, water pumping,</t>
  </si>
  <si>
    <t>2012-2020</t>
  </si>
  <si>
    <t>Internet of Things, embedded software, APIs and communication protocols, standardization, semantic interoperability</t>
  </si>
  <si>
    <t xml:space="preserve">Radial inflow (centripetal) design from the paper </t>
  </si>
  <si>
    <t xml:space="preserve">3-D Modeling of Gas–Solid Two-Phase Flow in a Pi-Shaped Centripetal Radial Flow Adsorber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</si>
</sst>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0.13774651361620141</c:v>
                </c:pt>
                <c:pt idx="1">
                  <c:v>0.27549302723240282</c:v>
                </c:pt>
                <c:pt idx="2">
                  <c:v>0.41323954084860426</c:v>
                </c:pt>
                <c:pt idx="3">
                  <c:v>0.55098605446480564</c:v>
                </c:pt>
                <c:pt idx="4">
                  <c:v>0.68873256808100713</c:v>
                </c:pt>
                <c:pt idx="5">
                  <c:v>0.82647908169720852</c:v>
                </c:pt>
                <c:pt idx="6">
                  <c:v>0.96422559531340968</c:v>
                </c:pt>
                <c:pt idx="7">
                  <c:v>1.1019721089296113</c:v>
                </c:pt>
                <c:pt idx="8">
                  <c:v>1.2397186225458128</c:v>
                </c:pt>
                <c:pt idx="9">
                  <c:v>1.3774651361620143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0.19137232451689171</c:v>
                </c:pt>
                <c:pt idx="1">
                  <c:v>0.38274464903378341</c:v>
                </c:pt>
                <c:pt idx="2">
                  <c:v>0.57411697355067515</c:v>
                </c:pt>
                <c:pt idx="3">
                  <c:v>0.76548929806756683</c:v>
                </c:pt>
                <c:pt idx="4">
                  <c:v>0.9568616225844585</c:v>
                </c:pt>
                <c:pt idx="5">
                  <c:v>1.1482339471013503</c:v>
                </c:pt>
                <c:pt idx="6">
                  <c:v>1.3396062716182415</c:v>
                </c:pt>
                <c:pt idx="7">
                  <c:v>1.5309785961351337</c:v>
                </c:pt>
                <c:pt idx="8">
                  <c:v>1.7223509206520253</c:v>
                </c:pt>
                <c:pt idx="9">
                  <c:v>1.913723245168917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77"/>
  <sheetViews>
    <sheetView zoomScale="114" workbookViewId="0">
      <selection activeCell="G165" sqref="G165"/>
    </sheetView>
  </sheetViews>
  <sheetFormatPr baseColWidth="10" defaultRowHeight="16"/>
  <cols>
    <col min="1" max="1" width="2.33203125" customWidth="1"/>
    <col min="2" max="2" width="6.6640625" customWidth="1"/>
    <col min="12" max="12" width="19.6640625" style="109" customWidth="1"/>
    <col min="13" max="13" width="13.33203125" customWidth="1"/>
    <col min="14" max="14" width="12.5" customWidth="1"/>
  </cols>
  <sheetData>
    <row r="2" spans="3:16">
      <c r="C2" s="3" t="s">
        <v>731</v>
      </c>
      <c r="D2" s="3" t="s">
        <v>727</v>
      </c>
      <c r="E2" s="3">
        <v>3.95</v>
      </c>
      <c r="J2">
        <v>0.63</v>
      </c>
      <c r="K2" t="s">
        <v>697</v>
      </c>
    </row>
    <row r="3" spans="3:16">
      <c r="C3" s="3" t="s">
        <v>730</v>
      </c>
      <c r="D3" s="3" t="s">
        <v>726</v>
      </c>
      <c r="E3" s="3">
        <v>0.7</v>
      </c>
      <c r="J3">
        <v>0.64</v>
      </c>
      <c r="K3" t="s">
        <v>3</v>
      </c>
    </row>
    <row r="4" spans="3:16">
      <c r="C4" s="3" t="s">
        <v>729</v>
      </c>
      <c r="D4" s="3" t="s">
        <v>728</v>
      </c>
      <c r="E4" s="3">
        <v>0.63</v>
      </c>
      <c r="G4" s="3" t="s">
        <v>700</v>
      </c>
      <c r="H4">
        <v>0.63</v>
      </c>
      <c r="I4" t="s">
        <v>4</v>
      </c>
      <c r="J4">
        <v>0.79</v>
      </c>
      <c r="K4" s="4" t="s">
        <v>8</v>
      </c>
    </row>
    <row r="6" spans="3:16">
      <c r="C6" t="s">
        <v>346</v>
      </c>
      <c r="D6" t="s">
        <v>347</v>
      </c>
      <c r="E6" t="s">
        <v>1</v>
      </c>
      <c r="F6" t="s">
        <v>2</v>
      </c>
      <c r="G6" t="s">
        <v>0</v>
      </c>
      <c r="H6" t="s">
        <v>348</v>
      </c>
      <c r="I6" s="3" t="s">
        <v>5</v>
      </c>
      <c r="J6" s="3" t="s">
        <v>6</v>
      </c>
      <c r="K6" s="3" t="s">
        <v>7</v>
      </c>
      <c r="M6" s="3" t="s">
        <v>737</v>
      </c>
    </row>
    <row r="7" spans="3:16">
      <c r="O7">
        <v>2.5</v>
      </c>
      <c r="P7">
        <v>10</v>
      </c>
    </row>
    <row r="8" spans="3:16">
      <c r="C8" s="26">
        <v>1.37</v>
      </c>
      <c r="D8" s="26">
        <v>12</v>
      </c>
      <c r="E8" s="28">
        <f t="shared" ref="E8:F11" si="0">C8*2.54</f>
        <v>3.4798000000000004</v>
      </c>
      <c r="F8" s="26">
        <f t="shared" si="0"/>
        <v>30.48</v>
      </c>
      <c r="G8" s="28">
        <f>PI() * (E8/2)^2 * F8 /1000</f>
        <v>0.28987676873951496</v>
      </c>
      <c r="H8" s="26">
        <v>1</v>
      </c>
      <c r="I8" s="28">
        <f>G8*H$4</f>
        <v>0.18262236430589443</v>
      </c>
      <c r="J8" s="28">
        <f t="shared" ref="J8" si="1">H8*I8</f>
        <v>0.18262236430589443</v>
      </c>
      <c r="K8" s="28">
        <f>J8*2.2</f>
        <v>0.4017692014729678</v>
      </c>
      <c r="L8" s="109" t="s">
        <v>787</v>
      </c>
      <c r="M8" s="1">
        <f>G8*(1-O$34)</f>
        <v>8.6963030621854495E-2</v>
      </c>
      <c r="O8" s="1">
        <f>J18/O7</f>
        <v>1.3891805980191367</v>
      </c>
      <c r="P8" s="1">
        <f>P7*O8</f>
        <v>13.891805980191368</v>
      </c>
    </row>
    <row r="9" spans="3:16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>
      <c r="C10" s="26">
        <v>1.37</v>
      </c>
      <c r="D10" s="26">
        <v>25</v>
      </c>
      <c r="E10" s="28">
        <f t="shared" si="0"/>
        <v>3.4798000000000004</v>
      </c>
      <c r="F10" s="26">
        <f t="shared" si="0"/>
        <v>63.5</v>
      </c>
      <c r="G10" s="28">
        <f>PI() * (E10/2)^2 * F10 /1000</f>
        <v>0.60390993487398936</v>
      </c>
      <c r="H10" s="26">
        <v>1</v>
      </c>
      <c r="I10" s="28">
        <f>G10*H$4</f>
        <v>0.38046325897061328</v>
      </c>
      <c r="J10" s="28">
        <f t="shared" ref="J10" si="3">H10*I10</f>
        <v>0.38046325897061328</v>
      </c>
      <c r="K10" s="28">
        <f>J10*2.2</f>
        <v>0.83701916973534929</v>
      </c>
      <c r="L10" s="109" t="s">
        <v>788</v>
      </c>
      <c r="M10" s="1">
        <f t="shared" si="2"/>
        <v>0.18117298046219685</v>
      </c>
    </row>
    <row r="11" spans="3:16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>
      <c r="E12" s="1"/>
      <c r="I12" s="1"/>
      <c r="M12" s="1"/>
    </row>
    <row r="13" spans="3:16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9" t="s">
        <v>786</v>
      </c>
      <c r="M14" s="1">
        <f t="shared" si="2"/>
        <v>0.27061631156227189</v>
      </c>
    </row>
    <row r="15" spans="3:16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290</v>
      </c>
    </row>
    <row r="16" spans="3:16">
      <c r="E16" s="1"/>
      <c r="I16" s="1"/>
      <c r="M16" s="1"/>
    </row>
    <row r="17" spans="3:18">
      <c r="C17" s="26">
        <v>2.87</v>
      </c>
      <c r="D17" s="26">
        <v>20</v>
      </c>
      <c r="E17" s="28">
        <f t="shared" ref="E17:F19" si="8">C17*2.54</f>
        <v>7.2898000000000005</v>
      </c>
      <c r="F17" s="26">
        <f t="shared" si="8"/>
        <v>50.8</v>
      </c>
      <c r="G17" s="27">
        <f>PI() * (E17/2)^2 * F17 /1000</f>
        <v>2.1202390079657154</v>
      </c>
      <c r="H17" s="26">
        <v>2</v>
      </c>
      <c r="I17" s="28">
        <f>G17*H$4</f>
        <v>1.3357505750184007</v>
      </c>
      <c r="J17" s="28">
        <f>H17*I17</f>
        <v>2.6715011500368013</v>
      </c>
      <c r="K17" s="28">
        <f>J17*2.2</f>
        <v>5.8773025300809634</v>
      </c>
      <c r="L17" s="109" t="s">
        <v>698</v>
      </c>
      <c r="M17" s="1">
        <f t="shared" si="2"/>
        <v>0.63607170238971467</v>
      </c>
      <c r="O17">
        <v>1000</v>
      </c>
      <c r="P17" t="s">
        <v>291</v>
      </c>
    </row>
    <row r="18" spans="3:18">
      <c r="C18" s="26">
        <v>2.87</v>
      </c>
      <c r="D18" s="26">
        <v>26</v>
      </c>
      <c r="E18" s="28">
        <f t="shared" si="8"/>
        <v>7.2898000000000005</v>
      </c>
      <c r="F18" s="26">
        <f t="shared" si="8"/>
        <v>66.040000000000006</v>
      </c>
      <c r="G18" s="27">
        <f>PI() * (E18/2)^2 * F18 /1000</f>
        <v>2.7563107103554301</v>
      </c>
      <c r="H18" s="26">
        <v>2</v>
      </c>
      <c r="I18" s="28">
        <f>G18*H$4</f>
        <v>1.736475747523921</v>
      </c>
      <c r="J18" s="28">
        <f>H18*I18</f>
        <v>3.472951495047842</v>
      </c>
      <c r="K18" s="28">
        <f>J18*2.2</f>
        <v>7.6404932891052528</v>
      </c>
      <c r="L18" s="109" t="s">
        <v>699</v>
      </c>
      <c r="M18" s="1">
        <f t="shared" si="2"/>
        <v>0.82689321310662911</v>
      </c>
    </row>
    <row r="19" spans="3:18">
      <c r="C19" s="26">
        <v>2.87</v>
      </c>
      <c r="D19" s="26">
        <v>38</v>
      </c>
      <c r="E19" s="28">
        <f t="shared" si="8"/>
        <v>7.2898000000000005</v>
      </c>
      <c r="F19" s="26">
        <f t="shared" si="8"/>
        <v>96.52</v>
      </c>
      <c r="G19" s="27">
        <f>PI() * (E19/2)^2 * F19 /1000</f>
        <v>4.028454115134859</v>
      </c>
      <c r="H19" s="26">
        <v>2</v>
      </c>
      <c r="I19" s="28">
        <f>G19*H$4</f>
        <v>2.5379260925349612</v>
      </c>
      <c r="J19" s="28">
        <f>H19*I19</f>
        <v>5.0758521850699223</v>
      </c>
      <c r="K19" s="28">
        <f>J19*2.2</f>
        <v>11.16687480715383</v>
      </c>
      <c r="M19" s="1">
        <f t="shared" si="2"/>
        <v>1.2085362345404578</v>
      </c>
      <c r="O19">
        <v>20</v>
      </c>
      <c r="P19" t="s">
        <v>292</v>
      </c>
    </row>
    <row r="20" spans="3:18">
      <c r="E20" s="1"/>
      <c r="I20" s="1"/>
      <c r="M20" s="1"/>
      <c r="O20" s="2">
        <f>O19/O15*O17</f>
        <v>13.888888888888888</v>
      </c>
      <c r="P20" t="s">
        <v>17</v>
      </c>
    </row>
    <row r="21" spans="3:18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>
      <c r="C22" s="26">
        <v>3.37</v>
      </c>
      <c r="D22" s="26">
        <v>11</v>
      </c>
      <c r="E22" s="28">
        <f t="shared" si="9"/>
        <v>8.559800000000001</v>
      </c>
      <c r="F22" s="26">
        <f t="shared" si="9"/>
        <v>27.94</v>
      </c>
      <c r="G22" s="27">
        <f>PI() * (E22/2)^2 * F22 /1000</f>
        <v>1.6078425517198471</v>
      </c>
      <c r="H22" s="26">
        <v>1</v>
      </c>
      <c r="I22" s="28">
        <f>G22*H$4</f>
        <v>1.0129408075835038</v>
      </c>
      <c r="J22" s="28">
        <f>H22*I22</f>
        <v>1.0129408075835038</v>
      </c>
      <c r="K22" s="28">
        <f>J22*2.2</f>
        <v>2.2284697766837085</v>
      </c>
      <c r="L22" s="109" t="s">
        <v>372</v>
      </c>
      <c r="M22" s="1">
        <f t="shared" si="2"/>
        <v>0.48235276551595418</v>
      </c>
    </row>
    <row r="23" spans="3:18">
      <c r="E23" s="1"/>
      <c r="I23" s="1"/>
      <c r="M23" s="1"/>
    </row>
    <row r="24" spans="3:18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>
      <c r="C25" s="26">
        <v>3.37</v>
      </c>
      <c r="D25" s="26">
        <v>21</v>
      </c>
      <c r="E25" s="28">
        <f>C25*2.54</f>
        <v>8.559800000000001</v>
      </c>
      <c r="F25" s="26">
        <f>D25*2.54</f>
        <v>53.34</v>
      </c>
      <c r="G25" s="27">
        <f>PI() * (E25/2)^2 * F25 /1000</f>
        <v>3.0695175987378898</v>
      </c>
      <c r="H25" s="26">
        <v>1</v>
      </c>
      <c r="I25" s="28">
        <f>G25*H$4</f>
        <v>1.9337960872048705</v>
      </c>
      <c r="J25" s="28">
        <f>H25*I25</f>
        <v>1.9337960872048705</v>
      </c>
      <c r="K25" s="28">
        <f>J25*2.2</f>
        <v>4.2543513918507152</v>
      </c>
      <c r="L25" s="109" t="s">
        <v>373</v>
      </c>
      <c r="M25" s="1">
        <f t="shared" si="2"/>
        <v>0.92085527962136704</v>
      </c>
    </row>
    <row r="26" spans="3:18">
      <c r="E26" s="1"/>
      <c r="I26" s="1"/>
      <c r="M26" s="1"/>
      <c r="N26" s="23" t="s">
        <v>357</v>
      </c>
      <c r="O26" s="3">
        <v>4.5</v>
      </c>
      <c r="P26" t="s">
        <v>355</v>
      </c>
    </row>
    <row r="27" spans="3:18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23" t="s">
        <v>358</v>
      </c>
      <c r="O27" s="3">
        <v>50</v>
      </c>
      <c r="P27" t="s">
        <v>356</v>
      </c>
      <c r="Q27" t="s">
        <v>827</v>
      </c>
      <c r="R27" t="s">
        <v>826</v>
      </c>
    </row>
    <row r="28" spans="3:18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23" t="s">
        <v>359</v>
      </c>
      <c r="O28" s="3">
        <v>30</v>
      </c>
      <c r="P28" t="s">
        <v>356</v>
      </c>
      <c r="Q28" t="s">
        <v>828</v>
      </c>
    </row>
    <row r="29" spans="3:18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23" t="s">
        <v>701</v>
      </c>
      <c r="O29" s="21">
        <f>O26*(O27-O28)/100</f>
        <v>0.9</v>
      </c>
      <c r="P29" t="s">
        <v>355</v>
      </c>
    </row>
    <row r="30" spans="3:18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23" t="s">
        <v>360</v>
      </c>
      <c r="O30" s="3">
        <v>5</v>
      </c>
      <c r="P30" t="s">
        <v>17</v>
      </c>
    </row>
    <row r="31" spans="3:18">
      <c r="E31" s="1"/>
      <c r="M31" s="1"/>
      <c r="N31" s="23" t="s">
        <v>361</v>
      </c>
      <c r="O31" s="21">
        <f>O29/O30*60</f>
        <v>10.799999999999999</v>
      </c>
      <c r="P31" t="s">
        <v>362</v>
      </c>
    </row>
    <row r="32" spans="3:18">
      <c r="E32" s="1"/>
      <c r="M32" s="1"/>
      <c r="N32" s="23"/>
      <c r="O32" s="3"/>
    </row>
    <row r="33" spans="3:19">
      <c r="C33" s="26">
        <v>3.0680000000000001</v>
      </c>
      <c r="D33" s="26">
        <v>17</v>
      </c>
      <c r="E33" s="28">
        <f>C33*2.54</f>
        <v>7.7927200000000001</v>
      </c>
      <c r="F33" s="26">
        <f>D33*2.54</f>
        <v>43.18</v>
      </c>
      <c r="G33" s="27">
        <f>PI() * (E33/2)^2 * F33 /1000</f>
        <v>2.0594472054167392</v>
      </c>
      <c r="H33" s="26">
        <v>2</v>
      </c>
      <c r="I33" s="28">
        <f>G33*H$4</f>
        <v>1.2974517394125458</v>
      </c>
      <c r="J33" s="28">
        <f>H33*I33</f>
        <v>2.5949034788250915</v>
      </c>
      <c r="K33" s="28">
        <f>J33*2.2</f>
        <v>5.708787653415202</v>
      </c>
      <c r="M33" s="1">
        <f t="shared" si="2"/>
        <v>0.6178341616250218</v>
      </c>
      <c r="N33" s="23"/>
      <c r="O33" s="3"/>
    </row>
    <row r="34" spans="3:19">
      <c r="M34" s="1"/>
      <c r="N34" s="23" t="s">
        <v>736</v>
      </c>
      <c r="O34" s="3">
        <v>0.7</v>
      </c>
    </row>
    <row r="35" spans="3:19">
      <c r="C35" s="26">
        <v>2.87</v>
      </c>
      <c r="D35" s="26">
        <v>12</v>
      </c>
      <c r="E35" s="28">
        <f t="shared" ref="E35" si="16">C35*2.54</f>
        <v>7.2898000000000005</v>
      </c>
      <c r="F35" s="26">
        <f t="shared" ref="F35" si="17">D35*2.54</f>
        <v>30.48</v>
      </c>
      <c r="G35" s="27">
        <f>PI() * (E35/2)^2 * F35 /1000</f>
        <v>1.2721434047794291</v>
      </c>
      <c r="H35" s="26">
        <v>2</v>
      </c>
      <c r="I35" s="28">
        <f>G35*H$4</f>
        <v>0.8014503450110404</v>
      </c>
      <c r="J35" s="28">
        <f>H35*I35</f>
        <v>1.6029006900220808</v>
      </c>
      <c r="K35" s="28">
        <f>J35*2.2</f>
        <v>3.526381518048578</v>
      </c>
      <c r="L35" s="109" t="s">
        <v>851</v>
      </c>
      <c r="M35" s="1"/>
    </row>
    <row r="36" spans="3:19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19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9" t="s">
        <v>784</v>
      </c>
    </row>
    <row r="39" spans="3:19">
      <c r="O39" t="s">
        <v>844</v>
      </c>
    </row>
    <row r="40" spans="3:19">
      <c r="C40" s="26">
        <v>2.37</v>
      </c>
      <c r="D40" s="26">
        <v>20</v>
      </c>
      <c r="E40" s="28">
        <f>C40*2.54</f>
        <v>6.0198</v>
      </c>
      <c r="F40" s="26">
        <f>D40*2.54</f>
        <v>50.8</v>
      </c>
      <c r="G40" s="27">
        <f>PI() * (E40/2)^2 * F40 /1000</f>
        <v>1.4458316215861093</v>
      </c>
      <c r="H40" s="26">
        <v>2</v>
      </c>
      <c r="I40" s="28">
        <f>G40*H$4</f>
        <v>0.91087392159924885</v>
      </c>
      <c r="J40" s="28">
        <f>H40*I40</f>
        <v>1.8217478431984977</v>
      </c>
      <c r="K40" s="28">
        <f>J40*2.2</f>
        <v>4.0078452550366954</v>
      </c>
      <c r="L40" s="109" t="s">
        <v>785</v>
      </c>
      <c r="N40" s="3" t="s">
        <v>838</v>
      </c>
      <c r="O40">
        <v>0.09</v>
      </c>
      <c r="P40">
        <v>0.09</v>
      </c>
      <c r="Q40">
        <v>0.09</v>
      </c>
      <c r="R40">
        <v>0.09</v>
      </c>
      <c r="S40" t="s">
        <v>835</v>
      </c>
    </row>
    <row r="41" spans="3:19">
      <c r="O41">
        <v>0.96499999999999997</v>
      </c>
      <c r="P41">
        <v>0.96499999999999997</v>
      </c>
      <c r="Q41">
        <v>0.96499999999999997</v>
      </c>
      <c r="R41">
        <v>0.96499999999999997</v>
      </c>
      <c r="S41" t="s">
        <v>836</v>
      </c>
    </row>
    <row r="42" spans="3:19">
      <c r="O42">
        <v>2.5</v>
      </c>
      <c r="P42">
        <v>2.5</v>
      </c>
      <c r="Q42">
        <v>2.5</v>
      </c>
      <c r="R42">
        <v>2.5</v>
      </c>
      <c r="S42" t="s">
        <v>837</v>
      </c>
    </row>
    <row r="43" spans="3:19">
      <c r="C43">
        <v>4.87</v>
      </c>
      <c r="D43">
        <v>36.5</v>
      </c>
      <c r="E43" s="1">
        <f t="shared" ref="E43" si="22">C43*2.54</f>
        <v>12.3698</v>
      </c>
      <c r="F43">
        <f t="shared" ref="F43" si="23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</row>
    <row r="44" spans="3:19">
      <c r="N44" s="3" t="s">
        <v>377</v>
      </c>
      <c r="O44" s="1">
        <f>O40*2.54</f>
        <v>0.2286</v>
      </c>
      <c r="P44" s="1">
        <f>P40*2.54</f>
        <v>0.2286</v>
      </c>
      <c r="Q44" s="1">
        <f>Q40*2.54</f>
        <v>0.2286</v>
      </c>
      <c r="R44" s="1">
        <f>R40*2.54</f>
        <v>0.2286</v>
      </c>
      <c r="S44" t="s">
        <v>835</v>
      </c>
    </row>
    <row r="45" spans="3:19">
      <c r="O45" s="1">
        <f>O41*2.54</f>
        <v>2.4510999999999998</v>
      </c>
      <c r="P45" s="1">
        <f>P41*2.54</f>
        <v>2.4510999999999998</v>
      </c>
      <c r="Q45" s="1">
        <f>Q41*2.54</f>
        <v>2.4510999999999998</v>
      </c>
      <c r="R45" s="1">
        <f>R41*2.54</f>
        <v>2.4510999999999998</v>
      </c>
      <c r="S45" t="s">
        <v>836</v>
      </c>
    </row>
    <row r="46" spans="3:19">
      <c r="C46" s="26"/>
      <c r="D46" s="26"/>
      <c r="E46" s="28">
        <v>7.1</v>
      </c>
      <c r="F46" s="26">
        <v>44</v>
      </c>
      <c r="G46" s="27">
        <f>PI() * (E46/2)^2 * F46 /1000</f>
        <v>1.7420445423420763</v>
      </c>
      <c r="H46" s="26">
        <v>2</v>
      </c>
      <c r="I46" s="28">
        <f>G46*H$4</f>
        <v>1.0974880616755081</v>
      </c>
      <c r="J46" s="28">
        <f>H46*I46</f>
        <v>2.1949761233510161</v>
      </c>
      <c r="K46" s="28">
        <f>J46*2.2</f>
        <v>4.8289474713722358</v>
      </c>
      <c r="L46" s="109" t="s">
        <v>829</v>
      </c>
      <c r="O46" s="1">
        <f>O42*2.54</f>
        <v>6.35</v>
      </c>
      <c r="P46" s="1">
        <f>P42*2.54</f>
        <v>6.35</v>
      </c>
      <c r="Q46" s="1">
        <f>Q42*2.54</f>
        <v>6.35</v>
      </c>
      <c r="R46" s="1">
        <f>R42*2.54</f>
        <v>6.35</v>
      </c>
      <c r="S46" t="s">
        <v>837</v>
      </c>
    </row>
    <row r="47" spans="3:19">
      <c r="C47" s="26"/>
      <c r="D47" s="26"/>
      <c r="E47" s="28">
        <v>7.1</v>
      </c>
      <c r="F47" s="26">
        <v>52</v>
      </c>
      <c r="G47" s="27">
        <f>PI() * (E47/2)^2 * F47 /1000</f>
        <v>2.0587799136769989</v>
      </c>
      <c r="H47" s="26">
        <v>2</v>
      </c>
      <c r="I47" s="28">
        <f>G47*H$4</f>
        <v>1.2970313456165092</v>
      </c>
      <c r="J47" s="28">
        <f>H47*I47</f>
        <v>2.5940626912330185</v>
      </c>
      <c r="K47" s="28">
        <f>J47*2.2</f>
        <v>5.7069379207126412</v>
      </c>
      <c r="L47" s="109" t="s">
        <v>830</v>
      </c>
    </row>
    <row r="48" spans="3:19">
      <c r="N48" t="s">
        <v>839</v>
      </c>
      <c r="O48" s="1">
        <f>O45-O44</f>
        <v>2.2224999999999997</v>
      </c>
      <c r="P48" s="1">
        <f>P45-P44</f>
        <v>2.2224999999999997</v>
      </c>
      <c r="Q48" s="1">
        <f>Q45-Q44</f>
        <v>2.2224999999999997</v>
      </c>
      <c r="R48" s="1">
        <f>R45-R44</f>
        <v>2.2224999999999997</v>
      </c>
      <c r="S48" t="s">
        <v>377</v>
      </c>
    </row>
    <row r="49" spans="3:19">
      <c r="N49" t="s">
        <v>383</v>
      </c>
      <c r="O49" s="1">
        <f>PI() * (O46/2) ^2</f>
        <v>31.669217443593606</v>
      </c>
      <c r="P49" s="1">
        <f>PI() * (P46/2) ^2</f>
        <v>31.669217443593606</v>
      </c>
      <c r="Q49" s="1">
        <f>PI() * (Q46/2) ^2</f>
        <v>31.669217443593606</v>
      </c>
      <c r="R49" s="1">
        <f>PI() * (R46/2) ^2</f>
        <v>31.669217443593606</v>
      </c>
      <c r="S49" t="s">
        <v>378</v>
      </c>
    </row>
    <row r="50" spans="3:19">
      <c r="C50" s="26">
        <v>1.37</v>
      </c>
      <c r="D50" s="26">
        <v>12</v>
      </c>
      <c r="E50" s="28">
        <f>C50*2.54</f>
        <v>3.4798000000000004</v>
      </c>
      <c r="F50" s="26">
        <f>D50*2.54</f>
        <v>30.48</v>
      </c>
      <c r="G50" s="27">
        <f>PI() * (E50/2)^2 * F50 /1000</f>
        <v>0.28987676873951496</v>
      </c>
      <c r="H50" s="26">
        <v>1</v>
      </c>
      <c r="I50" s="28">
        <f>G50*H$4</f>
        <v>0.18262236430589443</v>
      </c>
      <c r="J50" s="28">
        <f>H50*I50</f>
        <v>0.18262236430589443</v>
      </c>
      <c r="K50" s="28">
        <f>J50*2.2</f>
        <v>0.4017692014729678</v>
      </c>
      <c r="L50" s="109" t="s">
        <v>834</v>
      </c>
      <c r="N50" t="s">
        <v>840</v>
      </c>
      <c r="O50" s="1">
        <f>O48*O49</f>
        <v>70.384835768386779</v>
      </c>
      <c r="P50" s="1">
        <f>P48*P49</f>
        <v>70.384835768386779</v>
      </c>
      <c r="Q50" s="1">
        <f>Q48*Q49</f>
        <v>70.384835768386779</v>
      </c>
      <c r="R50" s="1">
        <f>R48*R49</f>
        <v>70.384835768386779</v>
      </c>
      <c r="S50" t="s">
        <v>841</v>
      </c>
    </row>
    <row r="52" spans="3:19">
      <c r="N52" t="s">
        <v>842</v>
      </c>
      <c r="O52">
        <v>2</v>
      </c>
      <c r="P52">
        <v>2</v>
      </c>
      <c r="Q52">
        <v>2</v>
      </c>
      <c r="R52">
        <v>4</v>
      </c>
    </row>
    <row r="53" spans="3:19">
      <c r="C53" s="26">
        <v>1.38</v>
      </c>
      <c r="D53" s="26">
        <v>18</v>
      </c>
      <c r="E53" s="28">
        <f>C53*2.54</f>
        <v>3.5051999999999999</v>
      </c>
      <c r="F53" s="26">
        <f>D53*2.54</f>
        <v>45.72</v>
      </c>
      <c r="G53" s="27">
        <f>PI() * (E53/2)^2 * F53 /1000</f>
        <v>0.44118598624396516</v>
      </c>
      <c r="H53" s="26">
        <v>1</v>
      </c>
      <c r="I53" s="28">
        <f>G53*H$4</f>
        <v>0.27794717133369806</v>
      </c>
      <c r="J53" s="28">
        <f>H53*I53</f>
        <v>0.27794717133369806</v>
      </c>
      <c r="K53" s="28">
        <f>J53*2.2</f>
        <v>0.6114837769341358</v>
      </c>
      <c r="L53" s="109" t="s">
        <v>846</v>
      </c>
    </row>
    <row r="54" spans="3:19">
      <c r="C54" s="26">
        <v>1.61</v>
      </c>
      <c r="D54" s="26">
        <v>18</v>
      </c>
      <c r="E54" s="28">
        <f>C54*2.54</f>
        <v>4.0894000000000004</v>
      </c>
      <c r="F54" s="26">
        <f>D54*2.54</f>
        <v>45.72</v>
      </c>
      <c r="G54" s="27">
        <f>PI() * (E54/2)^2 * F54 /1000</f>
        <v>0.60050314794317494</v>
      </c>
      <c r="H54" s="26">
        <v>1</v>
      </c>
      <c r="I54" s="28">
        <f>G54*H$4</f>
        <v>0.37831698320420021</v>
      </c>
      <c r="J54" s="28">
        <f>H54*I54</f>
        <v>0.37831698320420021</v>
      </c>
      <c r="K54" s="28">
        <f>J54*2.2</f>
        <v>0.83229736304924051</v>
      </c>
      <c r="L54" s="109" t="s">
        <v>847</v>
      </c>
      <c r="N54" t="s">
        <v>843</v>
      </c>
      <c r="O54">
        <v>1400</v>
      </c>
      <c r="P54">
        <v>1680</v>
      </c>
      <c r="Q54">
        <v>2000</v>
      </c>
      <c r="R54">
        <v>1100</v>
      </c>
      <c r="S54" t="s">
        <v>845</v>
      </c>
    </row>
    <row r="55" spans="3:19">
      <c r="C55" s="26">
        <v>2.0670000000000002</v>
      </c>
      <c r="D55" s="26">
        <v>10</v>
      </c>
      <c r="E55" s="28">
        <f>C55*2.54</f>
        <v>5.2501800000000003</v>
      </c>
      <c r="F55" s="26">
        <f>D55*2.54</f>
        <v>25.4</v>
      </c>
      <c r="G55" s="27">
        <f>PI() * (E55/2)^2 * F55 /1000</f>
        <v>0.54988514118809451</v>
      </c>
      <c r="H55" s="26">
        <v>1</v>
      </c>
      <c r="I55" s="28">
        <f>G55*H$4</f>
        <v>0.34642763894849954</v>
      </c>
      <c r="J55" s="28">
        <f>H55*I55</f>
        <v>0.34642763894849954</v>
      </c>
      <c r="K55" s="28">
        <f>J55*2.2</f>
        <v>0.76214080568669906</v>
      </c>
      <c r="L55" s="109" t="s">
        <v>848</v>
      </c>
    </row>
    <row r="56" spans="3:19">
      <c r="C56" s="26">
        <v>2.0670000000000002</v>
      </c>
      <c r="D56" s="26">
        <v>6</v>
      </c>
      <c r="E56" s="28">
        <f>C56*2.54</f>
        <v>5.2501800000000003</v>
      </c>
      <c r="F56" s="26">
        <f>D56*2.54</f>
        <v>15.24</v>
      </c>
      <c r="G56" s="27">
        <f>PI() * (E56/2)^2 * F56 /1000</f>
        <v>0.3299310847128567</v>
      </c>
      <c r="H56" s="26">
        <v>1</v>
      </c>
      <c r="I56" s="28">
        <f>G56*H$4</f>
        <v>0.20785658336909973</v>
      </c>
      <c r="J56" s="28">
        <f>H56*I56</f>
        <v>0.20785658336909973</v>
      </c>
      <c r="K56" s="28">
        <f>J56*2.2</f>
        <v>0.45728448341201944</v>
      </c>
      <c r="N56" t="s">
        <v>850</v>
      </c>
      <c r="O56" s="1">
        <f>O54*O52*O50/1000</f>
        <v>197.07754015148296</v>
      </c>
      <c r="P56" s="1">
        <f>P54*P52*P50/1000</f>
        <v>236.49304818177956</v>
      </c>
      <c r="Q56" s="1">
        <f>Q54*Q52*Q50/1000</f>
        <v>281.53934307354712</v>
      </c>
      <c r="R56" s="1">
        <f>R54*R52*R50/1000</f>
        <v>309.69327738090186</v>
      </c>
      <c r="S56" t="s">
        <v>236</v>
      </c>
    </row>
    <row r="58" spans="3:19">
      <c r="N58" t="s">
        <v>849</v>
      </c>
      <c r="O58" s="1">
        <f>O45/O44</f>
        <v>10.722222222222221</v>
      </c>
      <c r="P58" s="1">
        <f>P45/P44</f>
        <v>10.722222222222221</v>
      </c>
      <c r="Q58" s="1">
        <f>Q45/Q44</f>
        <v>10.722222222222221</v>
      </c>
      <c r="R58" s="1">
        <f>R45/R44</f>
        <v>10.722222222222221</v>
      </c>
    </row>
    <row r="59" spans="3:19">
      <c r="N59" s="1"/>
      <c r="O59" s="1"/>
      <c r="P59" s="1"/>
      <c r="Q59" s="1"/>
    </row>
    <row r="60" spans="3:19" ht="17" thickBot="1">
      <c r="N60" s="1"/>
      <c r="O60" s="1"/>
      <c r="P60" s="1"/>
      <c r="Q60" s="1"/>
    </row>
    <row r="61" spans="3:19">
      <c r="C61" s="83" t="s">
        <v>875</v>
      </c>
      <c r="D61" s="84"/>
      <c r="F61" s="34" t="s">
        <v>854</v>
      </c>
      <c r="G61">
        <v>2</v>
      </c>
      <c r="H61">
        <v>2.5</v>
      </c>
      <c r="I61">
        <v>3</v>
      </c>
      <c r="J61">
        <v>4</v>
      </c>
      <c r="K61">
        <v>6</v>
      </c>
      <c r="N61" s="1" t="s">
        <v>893</v>
      </c>
      <c r="O61" s="1" t="s">
        <v>894</v>
      </c>
      <c r="P61" s="1" t="s">
        <v>888</v>
      </c>
      <c r="Q61" s="1"/>
    </row>
    <row r="62" spans="3:19">
      <c r="C62" s="85" t="s">
        <v>872</v>
      </c>
      <c r="D62" s="86">
        <v>1.1000000000000001</v>
      </c>
      <c r="F62" t="s">
        <v>852</v>
      </c>
      <c r="G62">
        <v>50</v>
      </c>
      <c r="H62">
        <v>78.75</v>
      </c>
      <c r="I62">
        <f>(260-90)/2</f>
        <v>85</v>
      </c>
      <c r="J62" s="29">
        <f>I62*1.33</f>
        <v>113.05000000000001</v>
      </c>
      <c r="K62" s="29">
        <f>J62*1.5</f>
        <v>169.57500000000002</v>
      </c>
      <c r="M62" t="s">
        <v>862</v>
      </c>
      <c r="N62" s="2">
        <v>0.9</v>
      </c>
      <c r="O62" s="1">
        <v>0.9</v>
      </c>
      <c r="P62" s="1">
        <v>0.6</v>
      </c>
      <c r="Q62" s="1"/>
    </row>
    <row r="63" spans="3:19">
      <c r="C63" s="85" t="s">
        <v>873</v>
      </c>
      <c r="D63" s="86">
        <v>10</v>
      </c>
      <c r="F63" t="s">
        <v>853</v>
      </c>
      <c r="G63" s="29">
        <f>PI()*G62</f>
        <v>157.07963267948966</v>
      </c>
      <c r="H63" s="29">
        <f>PI()*H62</f>
        <v>247.40042147019622</v>
      </c>
      <c r="I63" s="29">
        <f>PI()*I62</f>
        <v>267.03537555513242</v>
      </c>
      <c r="J63" s="29">
        <f>PI()*J62</f>
        <v>355.15704948832615</v>
      </c>
      <c r="K63" s="29">
        <f>PI()*K62</f>
        <v>532.73557423248917</v>
      </c>
      <c r="M63" t="s">
        <v>860</v>
      </c>
      <c r="N63">
        <v>0.67</v>
      </c>
      <c r="O63" s="1">
        <v>1</v>
      </c>
      <c r="P63" s="1">
        <v>1</v>
      </c>
      <c r="Q63" s="1"/>
    </row>
    <row r="64" spans="3:19">
      <c r="C64" s="85" t="s">
        <v>874</v>
      </c>
      <c r="D64" s="86">
        <v>0.6</v>
      </c>
      <c r="F64" t="s">
        <v>856</v>
      </c>
      <c r="G64">
        <v>10</v>
      </c>
      <c r="H64">
        <v>150</v>
      </c>
      <c r="I64">
        <v>20</v>
      </c>
      <c r="J64">
        <v>21</v>
      </c>
      <c r="K64">
        <v>22</v>
      </c>
      <c r="Q64" s="1"/>
    </row>
    <row r="65" spans="2:20" ht="17" thickBot="1">
      <c r="C65" s="87" t="s">
        <v>868</v>
      </c>
      <c r="D65" s="88">
        <f>D63/D62/D64</f>
        <v>15.15151515151515</v>
      </c>
      <c r="E65" t="s">
        <v>895</v>
      </c>
      <c r="F65" t="s">
        <v>857</v>
      </c>
      <c r="G65" s="29">
        <f>G63+(2*G64)</f>
        <v>177.07963267948966</v>
      </c>
      <c r="H65" s="29">
        <f t="shared" ref="H65:K65" si="24">H63+(2*H64)</f>
        <v>547.40042147019619</v>
      </c>
      <c r="I65" s="29">
        <f t="shared" si="24"/>
        <v>307.03537555513242</v>
      </c>
      <c r="J65" s="29">
        <f t="shared" si="24"/>
        <v>397.15704948832615</v>
      </c>
      <c r="K65" s="29">
        <f t="shared" si="24"/>
        <v>576.73557423248917</v>
      </c>
      <c r="N65" s="1"/>
      <c r="O65" s="1"/>
      <c r="P65" s="1"/>
      <c r="Q65" s="1"/>
    </row>
    <row r="66" spans="2:20">
      <c r="F66" t="s">
        <v>855</v>
      </c>
      <c r="G66" s="2">
        <f>G65/25.4</f>
        <v>6.9716390818696725</v>
      </c>
      <c r="H66" s="2">
        <f t="shared" ref="H66:K66" si="25">H65/25.4</f>
        <v>21.551197695677018</v>
      </c>
      <c r="I66" s="2">
        <f t="shared" si="25"/>
        <v>12.088006911619388</v>
      </c>
      <c r="J66" s="2">
        <f t="shared" si="25"/>
        <v>15.636104310564022</v>
      </c>
      <c r="K66" s="2">
        <f t="shared" si="25"/>
        <v>22.706124969783041</v>
      </c>
    </row>
    <row r="68" spans="2:20">
      <c r="M68" s="3" t="s">
        <v>529</v>
      </c>
      <c r="N68" s="3" t="s">
        <v>889</v>
      </c>
      <c r="O68" s="3" t="s">
        <v>890</v>
      </c>
      <c r="P68" s="109" t="s">
        <v>945</v>
      </c>
      <c r="Q68" s="3" t="s">
        <v>891</v>
      </c>
      <c r="R68" s="3" t="s">
        <v>896</v>
      </c>
      <c r="S68" s="3" t="s">
        <v>892</v>
      </c>
    </row>
    <row r="69" spans="2:20">
      <c r="H69" t="s">
        <v>862</v>
      </c>
      <c r="I69">
        <v>0.9</v>
      </c>
      <c r="J69" t="s">
        <v>870</v>
      </c>
      <c r="L69" s="110" t="s">
        <v>884</v>
      </c>
      <c r="M69" s="5">
        <v>30</v>
      </c>
      <c r="N69" s="5">
        <v>80</v>
      </c>
      <c r="O69" s="5">
        <f>5.1*28*0.8</f>
        <v>114.24</v>
      </c>
      <c r="P69" s="5">
        <v>171</v>
      </c>
      <c r="Q69" s="5">
        <v>160</v>
      </c>
      <c r="R69" s="5">
        <f>200*6/5*0.8</f>
        <v>192</v>
      </c>
      <c r="S69" s="5">
        <f>12*28*0.8</f>
        <v>268.8</v>
      </c>
      <c r="T69" t="s">
        <v>17</v>
      </c>
    </row>
    <row r="70" spans="2:20">
      <c r="H70" t="s">
        <v>860</v>
      </c>
      <c r="I70">
        <v>1</v>
      </c>
      <c r="J70" t="s">
        <v>869</v>
      </c>
      <c r="L70" s="110" t="s">
        <v>883</v>
      </c>
      <c r="M70" s="5">
        <f>M69*0.21*$I70*$I69</f>
        <v>5.67</v>
      </c>
      <c r="N70" s="5">
        <f>N69*0.21*$I70*$I69</f>
        <v>15.120000000000001</v>
      </c>
      <c r="O70" s="5">
        <f>O69*0.21*$I70*$I69</f>
        <v>21.591359999999998</v>
      </c>
      <c r="P70" s="5">
        <f>P69*0.21*$I70*$I69</f>
        <v>32.318999999999996</v>
      </c>
      <c r="Q70" s="5">
        <f>Q69*0.21*$I70*$I69</f>
        <v>30.240000000000002</v>
      </c>
      <c r="R70" s="5">
        <f>R69*0.21*$I70*$I69</f>
        <v>36.288000000000004</v>
      </c>
      <c r="S70" s="5">
        <f>S69*0.21*$I70*$I69</f>
        <v>50.803200000000004</v>
      </c>
      <c r="T70" t="s">
        <v>17</v>
      </c>
    </row>
    <row r="71" spans="2:20">
      <c r="C71" s="3" t="s">
        <v>731</v>
      </c>
      <c r="D71" s="3" t="s">
        <v>727</v>
      </c>
      <c r="E71" s="3">
        <v>3.95</v>
      </c>
      <c r="F71" t="s">
        <v>866</v>
      </c>
      <c r="H71" t="s">
        <v>865</v>
      </c>
      <c r="I71" s="2">
        <f>D65</f>
        <v>15.15151515151515</v>
      </c>
      <c r="J71" t="s">
        <v>868</v>
      </c>
      <c r="L71" s="110" t="s">
        <v>885</v>
      </c>
      <c r="M71" s="21">
        <f>M70/$I71/$I70</f>
        <v>0.37422</v>
      </c>
      <c r="N71" s="21">
        <f>N70/$I71/$I70</f>
        <v>0.99792000000000014</v>
      </c>
      <c r="O71" s="21">
        <f>O70/$I71/$I70</f>
        <v>1.4250297599999999</v>
      </c>
      <c r="P71" s="21">
        <f>P70/$I71/$I70</f>
        <v>2.133054</v>
      </c>
      <c r="Q71" s="21">
        <f>Q70/$I71/$I70</f>
        <v>1.9958400000000003</v>
      </c>
      <c r="R71" s="21">
        <f>R70/$I71/$I70</f>
        <v>2.3950080000000002</v>
      </c>
      <c r="S71" s="21">
        <f>S70/$I71/$I70</f>
        <v>3.3530112000000005</v>
      </c>
      <c r="T71" t="s">
        <v>5</v>
      </c>
    </row>
    <row r="72" spans="2:20">
      <c r="C72" s="3" t="s">
        <v>730</v>
      </c>
      <c r="D72" s="3" t="s">
        <v>726</v>
      </c>
      <c r="E72" s="3">
        <v>0.7</v>
      </c>
      <c r="H72" t="s">
        <v>859</v>
      </c>
      <c r="I72">
        <v>0.8</v>
      </c>
      <c r="J72" t="s">
        <v>867</v>
      </c>
      <c r="L72" s="110" t="s">
        <v>886</v>
      </c>
      <c r="M72" s="21">
        <f>M71/$I72</f>
        <v>0.467775</v>
      </c>
      <c r="N72" s="21">
        <f>N71/$I72</f>
        <v>1.2474000000000001</v>
      </c>
      <c r="O72" s="21">
        <f>O71/$I72</f>
        <v>1.7812871999999997</v>
      </c>
      <c r="P72" s="21">
        <f>P71/$I72</f>
        <v>2.6663174999999999</v>
      </c>
      <c r="Q72" s="21">
        <f>Q71/$I72</f>
        <v>2.4948000000000001</v>
      </c>
      <c r="R72" s="21">
        <f>R71/$I72</f>
        <v>2.99376</v>
      </c>
      <c r="S72" s="21">
        <f>S71/$I72</f>
        <v>4.1912640000000003</v>
      </c>
      <c r="T72" t="s">
        <v>5</v>
      </c>
    </row>
    <row r="73" spans="2:20">
      <c r="C73" s="3" t="s">
        <v>729</v>
      </c>
      <c r="D73" s="3" t="s">
        <v>728</v>
      </c>
      <c r="E73" s="3">
        <v>0.63</v>
      </c>
      <c r="H73" s="3" t="s">
        <v>700</v>
      </c>
      <c r="I73">
        <v>0.63</v>
      </c>
      <c r="J73" t="s">
        <v>866</v>
      </c>
      <c r="L73" s="110" t="s">
        <v>887</v>
      </c>
      <c r="M73" s="21">
        <f>M72/$I73</f>
        <v>0.74249999999999994</v>
      </c>
      <c r="N73" s="21">
        <f>N72/$I73</f>
        <v>1.98</v>
      </c>
      <c r="O73" s="21">
        <f>O72/$I73</f>
        <v>2.8274399999999997</v>
      </c>
      <c r="P73" s="21">
        <f>P72/$I73</f>
        <v>4.2322499999999996</v>
      </c>
      <c r="Q73" s="21">
        <f>Q72/$I73</f>
        <v>3.96</v>
      </c>
      <c r="R73" s="21">
        <f>R72/$I73</f>
        <v>4.7519999999999998</v>
      </c>
      <c r="S73" s="21">
        <f>S72/$I73</f>
        <v>6.6528</v>
      </c>
      <c r="T73" t="s">
        <v>759</v>
      </c>
    </row>
    <row r="75" spans="2:20">
      <c r="C75" s="3" t="s">
        <v>346</v>
      </c>
      <c r="D75" s="3" t="s">
        <v>347</v>
      </c>
      <c r="E75" s="3" t="s">
        <v>1</v>
      </c>
      <c r="F75" s="3" t="s">
        <v>2</v>
      </c>
      <c r="G75" s="3" t="s">
        <v>0</v>
      </c>
      <c r="H75" s="3" t="s">
        <v>348</v>
      </c>
      <c r="I75" s="3" t="s">
        <v>863</v>
      </c>
      <c r="J75" s="3" t="s">
        <v>864</v>
      </c>
      <c r="K75" s="3" t="s">
        <v>7</v>
      </c>
      <c r="M75" s="3" t="s">
        <v>871</v>
      </c>
      <c r="N75" s="3" t="s">
        <v>733</v>
      </c>
      <c r="O75" s="3" t="s">
        <v>858</v>
      </c>
      <c r="P75" s="3" t="s">
        <v>861</v>
      </c>
    </row>
    <row r="76" spans="2:20">
      <c r="C76" s="79">
        <v>2.0670000000000002</v>
      </c>
      <c r="D76" s="78">
        <v>20</v>
      </c>
      <c r="E76" s="79">
        <f>C76*2.54</f>
        <v>5.2501800000000003</v>
      </c>
      <c r="F76" s="78">
        <f>D76*2.54</f>
        <v>50.8</v>
      </c>
      <c r="G76" s="80">
        <f>PI() * (E76/2)^2 * F76 /1000</f>
        <v>1.099770282376189</v>
      </c>
      <c r="H76" s="78">
        <v>1</v>
      </c>
      <c r="I76" s="79">
        <f>G76*I$73</f>
        <v>0.69285527789699908</v>
      </c>
      <c r="J76" s="79">
        <f>H76*I76*I$72</f>
        <v>0.55428422231759933</v>
      </c>
      <c r="K76" s="79">
        <f>J76*2.2</f>
        <v>1.2194252890987187</v>
      </c>
      <c r="M76" s="78">
        <v>1</v>
      </c>
      <c r="N76" s="80">
        <f>J76*I$71*I$70*M76</f>
        <v>8.3982457926908989</v>
      </c>
      <c r="O76" s="101">
        <f>N76/0.21/I$69/I$70</f>
        <v>44.435162924290466</v>
      </c>
      <c r="P76" s="80">
        <f>O76/28</f>
        <v>1.5869701044389453</v>
      </c>
      <c r="Q76" t="s">
        <v>879</v>
      </c>
    </row>
    <row r="77" spans="2:20">
      <c r="B77" s="93"/>
      <c r="C77" s="94">
        <v>1.87</v>
      </c>
      <c r="D77" s="94">
        <v>31</v>
      </c>
      <c r="E77" s="100">
        <f t="shared" ref="E77" si="26">C77*2.54</f>
        <v>4.7498000000000005</v>
      </c>
      <c r="F77" s="94">
        <f t="shared" ref="F77" si="27">D77*2.54</f>
        <v>78.739999999999995</v>
      </c>
      <c r="G77" s="95">
        <f>PI() * (E77/2)^2 * F77 /1000</f>
        <v>1.3951982990907659</v>
      </c>
      <c r="H77" s="94">
        <v>1</v>
      </c>
      <c r="I77" s="92">
        <f t="shared" ref="I77:I81" si="28">G77*I$73</f>
        <v>0.8789749284271825</v>
      </c>
      <c r="J77" s="92">
        <f t="shared" ref="J77:J81" si="29">H77*I77*I$72</f>
        <v>0.703179942741746</v>
      </c>
      <c r="K77" s="100">
        <f>J77*2.2</f>
        <v>1.5469958740318412</v>
      </c>
      <c r="L77" s="111"/>
      <c r="M77" s="3">
        <v>1</v>
      </c>
      <c r="N77" s="5">
        <f t="shared" ref="N77:N81" si="30">J77*I$71*I$70*M77</f>
        <v>10.654241556693121</v>
      </c>
      <c r="O77" s="81">
        <f t="shared" ref="O77:O81" si="31">N77/0.21/I$69/I$70</f>
        <v>56.371648448111749</v>
      </c>
      <c r="P77" s="5">
        <f t="shared" ref="P77:P81" si="32">O77/28</f>
        <v>2.0132731588611339</v>
      </c>
      <c r="Q77" t="s">
        <v>880</v>
      </c>
    </row>
    <row r="78" spans="2:20">
      <c r="C78" s="78">
        <v>2.37</v>
      </c>
      <c r="D78" s="78">
        <v>45</v>
      </c>
      <c r="E78" s="79">
        <f>C78*2.54</f>
        <v>6.0198</v>
      </c>
      <c r="F78" s="78">
        <f>D78*2.54</f>
        <v>114.3</v>
      </c>
      <c r="G78" s="80">
        <f>PI() * (E78/2)^2 * F78 /1000</f>
        <v>3.2531211485687463</v>
      </c>
      <c r="H78" s="78">
        <v>1</v>
      </c>
      <c r="I78" s="79">
        <f t="shared" si="28"/>
        <v>2.0494663235983102</v>
      </c>
      <c r="J78" s="79">
        <f t="shared" si="29"/>
        <v>1.6395730588786481</v>
      </c>
      <c r="K78" s="79">
        <f>J78*2.2</f>
        <v>3.6070607295330261</v>
      </c>
      <c r="M78" s="78">
        <v>1</v>
      </c>
      <c r="N78" s="80">
        <f t="shared" si="30"/>
        <v>24.842016043615878</v>
      </c>
      <c r="O78" s="101">
        <f t="shared" si="31"/>
        <v>131.43923832600996</v>
      </c>
      <c r="P78" s="80">
        <f t="shared" si="32"/>
        <v>4.6942585116432127</v>
      </c>
      <c r="Q78" t="s">
        <v>876</v>
      </c>
    </row>
    <row r="79" spans="2:20">
      <c r="B79" s="93"/>
      <c r="C79" s="89">
        <v>2.87</v>
      </c>
      <c r="D79" s="89">
        <v>36</v>
      </c>
      <c r="E79" s="90">
        <f t="shared" ref="E79" si="33">C79*2.54</f>
        <v>7.2898000000000005</v>
      </c>
      <c r="F79" s="89">
        <f t="shared" ref="F79" si="34">D79*2.54</f>
        <v>91.44</v>
      </c>
      <c r="G79" s="91">
        <f>PI() * (E79/2)^2 * F79 /1000</f>
        <v>3.8164302143382876</v>
      </c>
      <c r="H79" s="89">
        <v>1</v>
      </c>
      <c r="I79" s="92">
        <f t="shared" si="28"/>
        <v>2.404351035033121</v>
      </c>
      <c r="J79" s="92">
        <f t="shared" si="29"/>
        <v>1.9234808280264968</v>
      </c>
      <c r="K79" s="90">
        <f>J79*2.2</f>
        <v>4.2316578216582936</v>
      </c>
      <c r="L79" s="111"/>
      <c r="M79" s="94">
        <v>1</v>
      </c>
      <c r="N79" s="95">
        <f t="shared" si="30"/>
        <v>29.143648909492374</v>
      </c>
      <c r="O79" s="96">
        <f t="shared" si="31"/>
        <v>154.19920057932472</v>
      </c>
      <c r="P79" s="95">
        <f t="shared" si="32"/>
        <v>5.5071143064044543</v>
      </c>
      <c r="Q79" t="s">
        <v>878</v>
      </c>
    </row>
    <row r="80" spans="2:20">
      <c r="C80" s="97">
        <v>3.87</v>
      </c>
      <c r="D80" s="97">
        <v>40</v>
      </c>
      <c r="E80" s="98">
        <f>C80*2.54</f>
        <v>9.8298000000000005</v>
      </c>
      <c r="F80" s="97">
        <f>D80*2.54</f>
        <v>101.6</v>
      </c>
      <c r="G80" s="99">
        <f>PI() * (E80/2)^2 * F80 /1000</f>
        <v>7.7103297595944387</v>
      </c>
      <c r="H80" s="97">
        <v>1</v>
      </c>
      <c r="I80" s="98">
        <f t="shared" si="28"/>
        <v>4.8575077485444966</v>
      </c>
      <c r="J80" s="98">
        <f t="shared" si="29"/>
        <v>3.8860061988355974</v>
      </c>
      <c r="K80" s="98">
        <f>J80*2.2</f>
        <v>8.5492136374383154</v>
      </c>
      <c r="L80" s="111"/>
      <c r="M80" s="97">
        <v>0.85</v>
      </c>
      <c r="N80" s="99">
        <f t="shared" si="30"/>
        <v>50.047049530458452</v>
      </c>
      <c r="O80" s="102">
        <f t="shared" si="31"/>
        <v>264.79920386485952</v>
      </c>
      <c r="P80" s="99">
        <f t="shared" si="32"/>
        <v>9.4571144237449829</v>
      </c>
      <c r="Q80" t="s">
        <v>882</v>
      </c>
    </row>
    <row r="81" spans="2:17">
      <c r="C81" s="3">
        <v>5.87</v>
      </c>
      <c r="D81" s="3">
        <v>46</v>
      </c>
      <c r="E81" s="21">
        <f t="shared" ref="E81" si="35">C81*2.54</f>
        <v>14.909800000000001</v>
      </c>
      <c r="F81" s="3">
        <f t="shared" ref="F81" si="36">D81*2.54</f>
        <v>116.84</v>
      </c>
      <c r="G81" s="5">
        <f>PI() * (E81/2)^2 * F81 /1000</f>
        <v>20.399760345423626</v>
      </c>
      <c r="H81" s="3">
        <v>1</v>
      </c>
      <c r="I81" s="82">
        <f t="shared" si="28"/>
        <v>12.851849017616885</v>
      </c>
      <c r="J81" s="82">
        <f t="shared" si="29"/>
        <v>10.281479214093508</v>
      </c>
      <c r="K81" s="21">
        <f>J81*2.2</f>
        <v>22.619254271005719</v>
      </c>
      <c r="L81" s="110" t="s">
        <v>881</v>
      </c>
      <c r="M81" s="3">
        <v>0.65</v>
      </c>
      <c r="N81" s="5">
        <f t="shared" si="30"/>
        <v>101.25699226001183</v>
      </c>
      <c r="O81" s="81">
        <f t="shared" si="31"/>
        <v>535.75128179900435</v>
      </c>
      <c r="P81" s="5">
        <f t="shared" si="32"/>
        <v>19.13397434996444</v>
      </c>
      <c r="Q81" t="s">
        <v>877</v>
      </c>
    </row>
    <row r="83" spans="2:17">
      <c r="M83" t="s">
        <v>897</v>
      </c>
    </row>
    <row r="84" spans="2:17">
      <c r="M84" t="s">
        <v>898</v>
      </c>
    </row>
    <row r="85" spans="2:17">
      <c r="M85" t="s">
        <v>899</v>
      </c>
    </row>
    <row r="86" spans="2:17">
      <c r="M86" t="s">
        <v>900</v>
      </c>
    </row>
    <row r="88" spans="2:17">
      <c r="M88" t="s">
        <v>903</v>
      </c>
    </row>
    <row r="89" spans="2:17">
      <c r="D89" s="26" t="s">
        <v>915</v>
      </c>
      <c r="M89" t="s">
        <v>901</v>
      </c>
    </row>
    <row r="90" spans="2:17">
      <c r="B90" t="s">
        <v>36</v>
      </c>
      <c r="C90" s="26" t="s">
        <v>915</v>
      </c>
      <c r="D90" s="26" t="s">
        <v>915</v>
      </c>
      <c r="F90" s="103" t="s">
        <v>916</v>
      </c>
      <c r="M90" t="s">
        <v>902</v>
      </c>
    </row>
    <row r="91" spans="2:17">
      <c r="B91" t="s">
        <v>951</v>
      </c>
      <c r="C91" s="104" t="s">
        <v>914</v>
      </c>
      <c r="D91" s="108" t="s">
        <v>942</v>
      </c>
      <c r="E91" s="107" t="s">
        <v>917</v>
      </c>
      <c r="F91" s="103" t="s">
        <v>916</v>
      </c>
      <c r="M91" t="s">
        <v>904</v>
      </c>
    </row>
    <row r="93" spans="2:17">
      <c r="M93" t="s">
        <v>905</v>
      </c>
      <c r="N93" t="s">
        <v>906</v>
      </c>
    </row>
    <row r="94" spans="2:17">
      <c r="C94" t="s">
        <v>937</v>
      </c>
      <c r="M94" t="s">
        <v>908</v>
      </c>
      <c r="N94" t="s">
        <v>907</v>
      </c>
    </row>
    <row r="95" spans="2:17">
      <c r="B95" t="s">
        <v>912</v>
      </c>
      <c r="C95" s="26"/>
      <c r="D95" s="26"/>
      <c r="E95" s="106"/>
      <c r="F95" s="66"/>
      <c r="G95" s="103"/>
      <c r="H95" s="103"/>
      <c r="I95" s="106"/>
      <c r="J95" s="26"/>
      <c r="K95" s="106"/>
      <c r="L95" s="109" t="s">
        <v>924</v>
      </c>
    </row>
    <row r="96" spans="2:17">
      <c r="B96" t="s">
        <v>913</v>
      </c>
      <c r="C96" s="66"/>
      <c r="D96" s="103"/>
      <c r="E96" s="103"/>
      <c r="F96" s="26"/>
      <c r="G96" s="26"/>
      <c r="H96" s="106"/>
      <c r="I96" s="66"/>
      <c r="J96" s="103"/>
      <c r="K96" s="103"/>
      <c r="L96" s="109" t="s">
        <v>924</v>
      </c>
    </row>
    <row r="97" spans="2:16">
      <c r="N97" t="s">
        <v>910</v>
      </c>
      <c r="P97">
        <v>160</v>
      </c>
    </row>
    <row r="98" spans="2:16">
      <c r="B98" t="s">
        <v>918</v>
      </c>
      <c r="C98" s="104">
        <v>1</v>
      </c>
      <c r="D98" s="104">
        <v>1</v>
      </c>
      <c r="E98" s="104">
        <v>1</v>
      </c>
      <c r="F98" s="107"/>
      <c r="G98" s="103"/>
      <c r="H98" s="103"/>
      <c r="I98" s="104">
        <v>1</v>
      </c>
      <c r="J98" s="104">
        <v>1</v>
      </c>
      <c r="K98" s="104">
        <v>1</v>
      </c>
      <c r="L98" s="109" t="s">
        <v>927</v>
      </c>
      <c r="N98" t="s">
        <v>909</v>
      </c>
    </row>
    <row r="99" spans="2:16">
      <c r="B99" t="s">
        <v>919</v>
      </c>
      <c r="C99" s="107"/>
      <c r="D99" s="103"/>
      <c r="E99" s="103"/>
      <c r="F99" s="104">
        <v>1</v>
      </c>
      <c r="G99" s="104">
        <v>1</v>
      </c>
      <c r="H99" s="104">
        <v>1</v>
      </c>
      <c r="I99" s="107"/>
      <c r="J99" s="103"/>
      <c r="K99" s="103"/>
      <c r="L99" s="109" t="s">
        <v>927</v>
      </c>
      <c r="O99" t="s">
        <v>911</v>
      </c>
      <c r="P99">
        <v>80</v>
      </c>
    </row>
    <row r="100" spans="2:16"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 s="109" t="s">
        <v>924</v>
      </c>
    </row>
    <row r="103" spans="2:16">
      <c r="B103" t="s">
        <v>912</v>
      </c>
      <c r="C103" s="26"/>
      <c r="D103" s="26"/>
      <c r="E103" s="103"/>
      <c r="F103" s="26"/>
      <c r="G103" s="26"/>
      <c r="H103" s="26"/>
      <c r="I103" s="106"/>
      <c r="J103" s="26"/>
      <c r="K103" s="105"/>
      <c r="L103" s="109" t="s">
        <v>929</v>
      </c>
      <c r="N103" t="s">
        <v>943</v>
      </c>
    </row>
    <row r="104" spans="2:16">
      <c r="B104" t="s">
        <v>913</v>
      </c>
      <c r="C104" s="26"/>
      <c r="D104" s="26"/>
      <c r="E104" s="26"/>
      <c r="F104" s="26"/>
      <c r="G104" s="26"/>
      <c r="H104" s="103"/>
      <c r="I104" s="106"/>
      <c r="J104" s="106"/>
      <c r="K104" s="106"/>
      <c r="L104" s="109" t="s">
        <v>929</v>
      </c>
      <c r="N104">
        <f>(228+114)/2</f>
        <v>171</v>
      </c>
      <c r="O104" t="s">
        <v>944</v>
      </c>
    </row>
    <row r="105" spans="2:16">
      <c r="N105" t="s">
        <v>946</v>
      </c>
    </row>
    <row r="106" spans="2:16">
      <c r="B106" t="s">
        <v>918</v>
      </c>
      <c r="C106" s="104">
        <v>1</v>
      </c>
      <c r="D106" s="107"/>
      <c r="E106" s="103"/>
      <c r="F106" s="104">
        <v>1</v>
      </c>
      <c r="G106" s="108">
        <v>2</v>
      </c>
      <c r="H106" s="104">
        <v>1</v>
      </c>
      <c r="I106" s="104">
        <v>1</v>
      </c>
      <c r="J106" s="107"/>
      <c r="K106" s="103"/>
      <c r="L106" s="109" t="s">
        <v>925</v>
      </c>
    </row>
    <row r="107" spans="2:16">
      <c r="B107" t="s">
        <v>919</v>
      </c>
      <c r="C107" s="104">
        <v>1</v>
      </c>
      <c r="D107" s="108">
        <v>2</v>
      </c>
      <c r="E107" s="104">
        <v>1</v>
      </c>
      <c r="F107" s="104">
        <v>1</v>
      </c>
      <c r="G107" s="107"/>
      <c r="H107" s="103"/>
      <c r="I107" s="104">
        <v>1</v>
      </c>
      <c r="J107" s="108">
        <v>2</v>
      </c>
      <c r="K107" s="104">
        <v>1</v>
      </c>
      <c r="L107" s="109" t="s">
        <v>925</v>
      </c>
      <c r="N107">
        <v>228</v>
      </c>
    </row>
    <row r="108" spans="2:16">
      <c r="C108">
        <v>2</v>
      </c>
      <c r="D108">
        <v>2</v>
      </c>
      <c r="E108">
        <v>1</v>
      </c>
      <c r="F108">
        <v>2</v>
      </c>
      <c r="G108">
        <v>2</v>
      </c>
      <c r="H108">
        <v>1</v>
      </c>
      <c r="I108">
        <v>2</v>
      </c>
      <c r="J108">
        <v>2</v>
      </c>
      <c r="K108">
        <v>1</v>
      </c>
      <c r="L108" s="109" t="s">
        <v>940</v>
      </c>
      <c r="N108">
        <f>N107-N104</f>
        <v>57</v>
      </c>
      <c r="O108" t="s">
        <v>947</v>
      </c>
    </row>
    <row r="109" spans="2:16" ht="17" thickBot="1">
      <c r="N109">
        <v>5</v>
      </c>
      <c r="O109" t="s">
        <v>949</v>
      </c>
    </row>
    <row r="110" spans="2:16">
      <c r="B110" s="47" t="s">
        <v>912</v>
      </c>
      <c r="C110" s="112"/>
      <c r="D110" s="113"/>
      <c r="E110" s="112"/>
      <c r="F110" s="112"/>
      <c r="G110" s="112"/>
      <c r="H110" s="114"/>
      <c r="I110" s="112"/>
      <c r="J110" s="112"/>
      <c r="K110" s="112"/>
      <c r="L110" s="115" t="s">
        <v>923</v>
      </c>
      <c r="N110" s="2">
        <f>N108*N109/2/60</f>
        <v>2.375</v>
      </c>
      <c r="O110" t="s">
        <v>948</v>
      </c>
    </row>
    <row r="111" spans="2:16">
      <c r="B111" s="116" t="s">
        <v>913</v>
      </c>
      <c r="C111" s="117"/>
      <c r="D111" s="117"/>
      <c r="E111" s="117"/>
      <c r="F111" s="118"/>
      <c r="G111" s="119"/>
      <c r="H111" s="119"/>
      <c r="I111" s="117"/>
      <c r="J111" s="118"/>
      <c r="K111" s="119"/>
      <c r="L111" s="120" t="s">
        <v>923</v>
      </c>
      <c r="N111" s="22"/>
    </row>
    <row r="112" spans="2:16">
      <c r="B112" s="116"/>
      <c r="C112" s="93"/>
      <c r="D112" s="93"/>
      <c r="E112" s="93"/>
      <c r="F112" s="93"/>
      <c r="G112" s="93"/>
      <c r="H112" s="93"/>
      <c r="I112" s="93"/>
      <c r="J112" s="93"/>
      <c r="K112" s="93"/>
      <c r="L112" s="120"/>
      <c r="N112" s="2" t="s">
        <v>950</v>
      </c>
    </row>
    <row r="113" spans="2:12">
      <c r="B113" s="116" t="s">
        <v>918</v>
      </c>
      <c r="C113" s="121"/>
      <c r="D113" s="118"/>
      <c r="E113" s="122">
        <v>2</v>
      </c>
      <c r="F113" s="123">
        <v>1</v>
      </c>
      <c r="G113" s="121"/>
      <c r="H113" s="118"/>
      <c r="I113" s="122">
        <v>2</v>
      </c>
      <c r="J113" s="123">
        <v>1</v>
      </c>
      <c r="K113" s="121"/>
      <c r="L113" s="120" t="s">
        <v>930</v>
      </c>
    </row>
    <row r="114" spans="2:12">
      <c r="B114" s="116" t="s">
        <v>919</v>
      </c>
      <c r="C114" s="122">
        <v>2</v>
      </c>
      <c r="D114" s="123">
        <v>1</v>
      </c>
      <c r="E114" s="121"/>
      <c r="F114" s="118"/>
      <c r="G114" s="122">
        <v>2</v>
      </c>
      <c r="H114" s="123">
        <v>1</v>
      </c>
      <c r="I114" s="121"/>
      <c r="J114" s="118"/>
      <c r="K114" s="122">
        <v>2</v>
      </c>
      <c r="L114" s="120" t="s">
        <v>930</v>
      </c>
    </row>
    <row r="115" spans="2:12" ht="17" thickBot="1">
      <c r="B115" s="124" t="s">
        <v>914</v>
      </c>
      <c r="C115" s="49">
        <v>2</v>
      </c>
      <c r="D115" s="49">
        <v>1</v>
      </c>
      <c r="E115" s="49">
        <v>2</v>
      </c>
      <c r="F115" s="49">
        <v>1</v>
      </c>
      <c r="G115" s="49">
        <v>2</v>
      </c>
      <c r="H115" s="49">
        <v>1</v>
      </c>
      <c r="I115" s="49">
        <v>2</v>
      </c>
      <c r="J115" s="49">
        <v>1</v>
      </c>
      <c r="K115" s="49">
        <v>2</v>
      </c>
      <c r="L115" s="125" t="s">
        <v>939</v>
      </c>
    </row>
    <row r="117" spans="2:12">
      <c r="B117" t="s">
        <v>912</v>
      </c>
      <c r="C117" s="26"/>
      <c r="D117" s="103"/>
      <c r="E117" s="103"/>
      <c r="F117" s="26"/>
      <c r="G117" s="26"/>
      <c r="H117" s="26"/>
      <c r="I117" s="106"/>
      <c r="J117" s="103"/>
      <c r="K117" s="105"/>
      <c r="L117" s="109" t="s">
        <v>935</v>
      </c>
    </row>
    <row r="118" spans="2:12">
      <c r="B118" t="s">
        <v>913</v>
      </c>
      <c r="C118" s="26"/>
      <c r="D118" s="26"/>
      <c r="E118" s="26"/>
      <c r="F118" s="26"/>
      <c r="G118" s="103"/>
      <c r="H118" s="103"/>
      <c r="I118" s="106"/>
      <c r="J118" s="106"/>
      <c r="K118" s="106"/>
      <c r="L118" s="109" t="s">
        <v>935</v>
      </c>
    </row>
    <row r="120" spans="2:12">
      <c r="B120" t="s">
        <v>918</v>
      </c>
      <c r="C120" s="107"/>
      <c r="D120" s="103"/>
      <c r="E120" s="103"/>
      <c r="F120" s="108">
        <v>2</v>
      </c>
      <c r="G120" s="104">
        <v>1</v>
      </c>
      <c r="H120" s="104">
        <v>1</v>
      </c>
      <c r="I120" s="107"/>
      <c r="J120" s="103"/>
      <c r="K120" s="103"/>
      <c r="L120" s="109" t="s">
        <v>936</v>
      </c>
    </row>
    <row r="121" spans="2:12">
      <c r="B121" t="s">
        <v>919</v>
      </c>
      <c r="C121" s="108">
        <v>2</v>
      </c>
      <c r="D121" s="104">
        <v>1</v>
      </c>
      <c r="E121" s="104">
        <v>1</v>
      </c>
      <c r="F121" s="107"/>
      <c r="G121" s="103"/>
      <c r="H121" s="103"/>
      <c r="I121" s="108">
        <v>2</v>
      </c>
      <c r="J121" s="104">
        <v>1</v>
      </c>
      <c r="K121" s="104">
        <v>1</v>
      </c>
      <c r="L121" s="109" t="s">
        <v>936</v>
      </c>
    </row>
    <row r="122" spans="2:12">
      <c r="C122">
        <v>2</v>
      </c>
      <c r="D122">
        <v>1</v>
      </c>
      <c r="E122">
        <v>1</v>
      </c>
      <c r="F122">
        <v>2</v>
      </c>
      <c r="G122">
        <v>1</v>
      </c>
      <c r="H122">
        <v>1</v>
      </c>
      <c r="I122">
        <v>2</v>
      </c>
      <c r="J122">
        <v>1</v>
      </c>
      <c r="K122">
        <v>1</v>
      </c>
      <c r="L122" s="109" t="s">
        <v>922</v>
      </c>
    </row>
    <row r="124" spans="2:12">
      <c r="C124" t="s">
        <v>938</v>
      </c>
    </row>
    <row r="125" spans="2:12">
      <c r="B125" t="s">
        <v>912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109" t="s">
        <v>924</v>
      </c>
    </row>
    <row r="126" spans="2:12">
      <c r="B126" t="s">
        <v>913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109" t="s">
        <v>924</v>
      </c>
    </row>
    <row r="127" spans="2:12">
      <c r="B127" t="s">
        <v>920</v>
      </c>
      <c r="C127" s="66"/>
      <c r="D127" s="103"/>
      <c r="E127" s="103"/>
      <c r="F127" s="66"/>
      <c r="G127" s="103"/>
      <c r="H127" s="103"/>
      <c r="I127" s="66"/>
      <c r="J127" s="103"/>
      <c r="K127" s="103"/>
      <c r="L127" s="109" t="s">
        <v>926</v>
      </c>
    </row>
    <row r="128" spans="2:12">
      <c r="B128" t="s">
        <v>921</v>
      </c>
      <c r="C128" s="66"/>
      <c r="D128" s="103"/>
      <c r="E128" s="103"/>
      <c r="F128" s="66"/>
      <c r="G128" s="103"/>
      <c r="H128" s="103"/>
      <c r="I128" s="66"/>
      <c r="J128" s="103"/>
      <c r="K128" s="103"/>
      <c r="L128" s="109" t="s">
        <v>926</v>
      </c>
    </row>
    <row r="130" spans="2:12">
      <c r="B130" t="s">
        <v>918</v>
      </c>
      <c r="C130" s="108">
        <v>2</v>
      </c>
      <c r="D130" s="108">
        <v>2</v>
      </c>
      <c r="E130" s="108">
        <v>2</v>
      </c>
      <c r="F130" s="107"/>
      <c r="G130" s="103">
        <v>1</v>
      </c>
      <c r="H130" s="103">
        <v>1</v>
      </c>
      <c r="I130" s="108">
        <v>2</v>
      </c>
      <c r="J130" s="108">
        <v>2</v>
      </c>
      <c r="K130" s="108">
        <v>2</v>
      </c>
      <c r="L130" s="109" t="s">
        <v>928</v>
      </c>
    </row>
    <row r="131" spans="2:12">
      <c r="B131" t="s">
        <v>919</v>
      </c>
      <c r="C131" s="107"/>
      <c r="D131" s="103">
        <v>1</v>
      </c>
      <c r="E131" s="103">
        <v>1</v>
      </c>
      <c r="F131" s="108">
        <v>2</v>
      </c>
      <c r="G131" s="108">
        <v>2</v>
      </c>
      <c r="H131" s="108">
        <v>2</v>
      </c>
      <c r="I131" s="107"/>
      <c r="J131" s="103">
        <v>1</v>
      </c>
      <c r="K131" s="103">
        <v>1</v>
      </c>
      <c r="L131" s="109" t="s">
        <v>928</v>
      </c>
    </row>
    <row r="132" spans="2:12"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 s="109" t="s">
        <v>934</v>
      </c>
    </row>
    <row r="134" spans="2:12">
      <c r="B134" t="s">
        <v>912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109" t="s">
        <v>941</v>
      </c>
    </row>
    <row r="135" spans="2:12">
      <c r="B135" t="s">
        <v>913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109" t="s">
        <v>924</v>
      </c>
    </row>
    <row r="136" spans="2:12">
      <c r="B136" t="s">
        <v>932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109" t="s">
        <v>924</v>
      </c>
    </row>
    <row r="137" spans="2:12">
      <c r="B137" t="s">
        <v>920</v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9" t="s">
        <v>926</v>
      </c>
    </row>
    <row r="138" spans="2:12">
      <c r="B138" t="s">
        <v>921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9" t="s">
        <v>926</v>
      </c>
    </row>
    <row r="139" spans="2:12">
      <c r="B139" t="s">
        <v>931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9" t="s">
        <v>926</v>
      </c>
    </row>
    <row r="141" spans="2:12">
      <c r="B141" t="s">
        <v>918</v>
      </c>
      <c r="C141" s="108">
        <v>1.5</v>
      </c>
      <c r="D141" s="108">
        <v>3</v>
      </c>
      <c r="E141" s="108">
        <v>1.5</v>
      </c>
      <c r="F141" s="107"/>
      <c r="G141" s="103">
        <v>1.5</v>
      </c>
      <c r="H141" s="103">
        <v>1.5</v>
      </c>
      <c r="I141" s="108">
        <v>1.5</v>
      </c>
      <c r="J141" s="108">
        <v>3</v>
      </c>
      <c r="K141" s="108">
        <v>1.5</v>
      </c>
      <c r="L141" s="109" t="s">
        <v>928</v>
      </c>
    </row>
    <row r="142" spans="2:12">
      <c r="B142" t="s">
        <v>919</v>
      </c>
      <c r="C142" s="103">
        <v>1.5</v>
      </c>
      <c r="D142" s="103">
        <v>1.5</v>
      </c>
      <c r="E142" s="108">
        <v>1.5</v>
      </c>
      <c r="F142" s="108">
        <v>3</v>
      </c>
      <c r="G142" s="108">
        <v>1.5</v>
      </c>
      <c r="H142" s="107"/>
      <c r="I142" s="103">
        <v>1.5</v>
      </c>
      <c r="J142" s="103">
        <v>1.5</v>
      </c>
      <c r="K142" s="108">
        <v>1.5</v>
      </c>
      <c r="L142" s="109" t="s">
        <v>928</v>
      </c>
    </row>
    <row r="143" spans="2:12">
      <c r="B143" t="s">
        <v>933</v>
      </c>
      <c r="C143" s="108">
        <v>1.5</v>
      </c>
      <c r="D143" s="107"/>
      <c r="E143" s="103">
        <v>1.5</v>
      </c>
      <c r="F143" s="103">
        <v>1.5</v>
      </c>
      <c r="G143" s="108">
        <v>1.5</v>
      </c>
      <c r="H143" s="108">
        <v>3</v>
      </c>
      <c r="I143" s="108">
        <v>1.5</v>
      </c>
      <c r="J143" s="107"/>
      <c r="K143" s="103">
        <v>1.5</v>
      </c>
      <c r="L143" s="109" t="s">
        <v>928</v>
      </c>
    </row>
    <row r="144" spans="2:12">
      <c r="C144">
        <v>3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</row>
    <row r="146" spans="2:12">
      <c r="B146" t="s">
        <v>918</v>
      </c>
      <c r="C146" s="108">
        <v>2</v>
      </c>
      <c r="D146" s="108">
        <v>2</v>
      </c>
      <c r="E146" s="108">
        <v>2</v>
      </c>
      <c r="F146" s="107"/>
      <c r="G146" s="103">
        <v>1.5</v>
      </c>
      <c r="H146" s="103">
        <v>1.5</v>
      </c>
      <c r="I146" s="108">
        <v>2</v>
      </c>
      <c r="J146" s="108">
        <v>2</v>
      </c>
      <c r="K146" s="108">
        <v>2</v>
      </c>
      <c r="L146" s="109" t="s">
        <v>928</v>
      </c>
    </row>
    <row r="147" spans="2:12">
      <c r="B147" t="s">
        <v>919</v>
      </c>
      <c r="C147" s="103">
        <v>1.5</v>
      </c>
      <c r="D147" s="103">
        <v>1.5</v>
      </c>
      <c r="E147" s="108">
        <v>2</v>
      </c>
      <c r="F147" s="108">
        <v>2</v>
      </c>
      <c r="G147" s="108">
        <v>2</v>
      </c>
      <c r="H147" s="107"/>
      <c r="I147" s="103">
        <v>1.5</v>
      </c>
      <c r="J147" s="103">
        <v>1.5</v>
      </c>
      <c r="K147" s="108">
        <v>2</v>
      </c>
      <c r="L147" s="109" t="s">
        <v>928</v>
      </c>
    </row>
    <row r="148" spans="2:12">
      <c r="B148" t="s">
        <v>933</v>
      </c>
      <c r="C148" s="108">
        <v>2</v>
      </c>
      <c r="D148" s="107"/>
      <c r="E148" s="103">
        <v>1.5</v>
      </c>
      <c r="F148" s="103">
        <v>1.5</v>
      </c>
      <c r="G148" s="108">
        <v>2</v>
      </c>
      <c r="H148" s="108">
        <v>2</v>
      </c>
      <c r="I148" s="108">
        <v>2</v>
      </c>
      <c r="J148" s="107"/>
      <c r="K148" s="103">
        <v>1.5</v>
      </c>
      <c r="L148" s="109" t="s">
        <v>928</v>
      </c>
    </row>
    <row r="149" spans="2:12">
      <c r="C149">
        <v>4</v>
      </c>
      <c r="D149">
        <v>2</v>
      </c>
      <c r="E149">
        <v>4</v>
      </c>
      <c r="F149">
        <v>2</v>
      </c>
      <c r="G149">
        <v>4</v>
      </c>
      <c r="H149">
        <v>2</v>
      </c>
      <c r="I149">
        <v>4</v>
      </c>
      <c r="J149">
        <v>2</v>
      </c>
      <c r="K149">
        <v>4</v>
      </c>
    </row>
    <row r="152" spans="2:12">
      <c r="C152">
        <v>1.75</v>
      </c>
      <c r="D152">
        <v>2.5</v>
      </c>
      <c r="E152">
        <v>7</v>
      </c>
      <c r="F152">
        <v>10</v>
      </c>
      <c r="G152">
        <v>7</v>
      </c>
      <c r="H152">
        <v>10</v>
      </c>
    </row>
    <row r="153" spans="2:12">
      <c r="C153">
        <v>3.5</v>
      </c>
      <c r="D153">
        <v>2.5</v>
      </c>
      <c r="E153">
        <v>14</v>
      </c>
      <c r="F153">
        <v>10</v>
      </c>
      <c r="G153">
        <v>14</v>
      </c>
      <c r="H153">
        <v>10</v>
      </c>
    </row>
    <row r="155" spans="2:12">
      <c r="C155">
        <v>1.67</v>
      </c>
      <c r="D155">
        <v>2.67</v>
      </c>
      <c r="E155">
        <v>5</v>
      </c>
      <c r="F155">
        <v>8</v>
      </c>
      <c r="G155">
        <v>5</v>
      </c>
      <c r="H155">
        <v>8</v>
      </c>
    </row>
    <row r="156" spans="2:12">
      <c r="C156">
        <v>3.33</v>
      </c>
      <c r="D156">
        <v>2.67</v>
      </c>
      <c r="E156">
        <v>10</v>
      </c>
      <c r="F156">
        <v>8</v>
      </c>
      <c r="G156">
        <v>10</v>
      </c>
      <c r="H156">
        <v>8</v>
      </c>
    </row>
    <row r="160" spans="2:12">
      <c r="B160" t="s">
        <v>912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109" t="s">
        <v>924</v>
      </c>
    </row>
    <row r="161" spans="2:12">
      <c r="B161" t="s">
        <v>913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109" t="s">
        <v>924</v>
      </c>
    </row>
    <row r="162" spans="2:12">
      <c r="B162" t="s">
        <v>920</v>
      </c>
      <c r="C162" s="66"/>
      <c r="D162" s="103"/>
      <c r="E162" s="103"/>
      <c r="F162" s="103"/>
      <c r="G162" s="103"/>
      <c r="I162" s="103"/>
      <c r="J162" s="103"/>
      <c r="K162" s="103"/>
      <c r="L162" s="109" t="s">
        <v>926</v>
      </c>
    </row>
    <row r="163" spans="2:12">
      <c r="B163" t="s">
        <v>921</v>
      </c>
      <c r="C163" s="66"/>
      <c r="D163" s="103"/>
      <c r="E163" s="103"/>
      <c r="F163" s="103"/>
      <c r="G163" s="103"/>
      <c r="I163" s="103"/>
      <c r="J163" s="103"/>
      <c r="K163" s="103"/>
      <c r="L163" s="109" t="s">
        <v>926</v>
      </c>
    </row>
    <row r="165" spans="2:12">
      <c r="B165" t="s">
        <v>918</v>
      </c>
      <c r="C165" s="108">
        <v>1</v>
      </c>
      <c r="D165" s="108">
        <v>2</v>
      </c>
      <c r="E165" s="108">
        <v>2</v>
      </c>
      <c r="F165" s="103">
        <v>1</v>
      </c>
      <c r="G165" s="103">
        <v>1</v>
      </c>
      <c r="H165" s="108">
        <v>1</v>
      </c>
      <c r="I165" s="108">
        <v>2</v>
      </c>
      <c r="J165" s="108">
        <v>2</v>
      </c>
      <c r="K165" s="103">
        <v>1</v>
      </c>
      <c r="L165" s="109" t="s">
        <v>952</v>
      </c>
    </row>
    <row r="166" spans="2:12">
      <c r="B166" t="s">
        <v>919</v>
      </c>
      <c r="C166" s="108">
        <v>1</v>
      </c>
      <c r="D166" s="103">
        <v>1</v>
      </c>
      <c r="E166" s="103">
        <v>1</v>
      </c>
      <c r="F166" s="108">
        <v>2</v>
      </c>
      <c r="G166" s="108">
        <v>2</v>
      </c>
      <c r="H166" s="108">
        <v>1</v>
      </c>
      <c r="I166" s="103">
        <v>1</v>
      </c>
      <c r="J166" s="103">
        <v>1</v>
      </c>
      <c r="K166" s="108">
        <v>2</v>
      </c>
      <c r="L166" s="109" t="s">
        <v>952</v>
      </c>
    </row>
    <row r="167" spans="2:12">
      <c r="C167">
        <v>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 s="109" t="s">
        <v>953</v>
      </c>
    </row>
    <row r="170" spans="2:12">
      <c r="B170" t="s">
        <v>912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109" t="s">
        <v>924</v>
      </c>
    </row>
    <row r="171" spans="2:12">
      <c r="B171" t="s">
        <v>913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109" t="s">
        <v>924</v>
      </c>
    </row>
    <row r="172" spans="2:12">
      <c r="B172" t="s">
        <v>920</v>
      </c>
      <c r="C172" s="103"/>
      <c r="E172" s="103"/>
      <c r="F172" s="103"/>
      <c r="H172" s="103"/>
      <c r="I172" s="103"/>
      <c r="K172" s="103"/>
      <c r="L172" s="109" t="s">
        <v>926</v>
      </c>
    </row>
    <row r="173" spans="2:12">
      <c r="B173" t="s">
        <v>921</v>
      </c>
      <c r="C173" s="103"/>
      <c r="E173" s="103"/>
      <c r="F173" s="103"/>
      <c r="H173" s="103"/>
      <c r="I173" s="103"/>
      <c r="K173" s="103"/>
      <c r="L173" s="109" t="s">
        <v>926</v>
      </c>
    </row>
    <row r="175" spans="2:12">
      <c r="B175" t="s">
        <v>918</v>
      </c>
      <c r="C175" s="103">
        <v>2</v>
      </c>
      <c r="D175" s="108">
        <v>1</v>
      </c>
      <c r="E175" s="108">
        <v>2</v>
      </c>
      <c r="F175" s="103">
        <v>2</v>
      </c>
      <c r="G175" s="108">
        <v>1</v>
      </c>
      <c r="H175" s="108">
        <v>2</v>
      </c>
      <c r="I175" s="103">
        <v>2</v>
      </c>
      <c r="J175" s="108">
        <v>1</v>
      </c>
      <c r="K175" s="108">
        <v>2</v>
      </c>
      <c r="L175" s="109" t="s">
        <v>952</v>
      </c>
    </row>
    <row r="176" spans="2:12">
      <c r="B176" t="s">
        <v>919</v>
      </c>
      <c r="C176" s="108">
        <v>2</v>
      </c>
      <c r="D176" s="108">
        <v>1</v>
      </c>
      <c r="E176" s="103">
        <v>2</v>
      </c>
      <c r="F176" s="108">
        <v>2</v>
      </c>
      <c r="G176" s="108">
        <v>1</v>
      </c>
      <c r="H176" s="103">
        <v>2</v>
      </c>
      <c r="I176" s="108">
        <v>2</v>
      </c>
      <c r="J176" s="108">
        <v>1</v>
      </c>
      <c r="K176" s="103">
        <v>2</v>
      </c>
      <c r="L176" s="109" t="s">
        <v>952</v>
      </c>
    </row>
    <row r="177" spans="3:12"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 s="109" t="s">
        <v>953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379</v>
      </c>
      <c r="C8">
        <v>200</v>
      </c>
      <c r="D8" t="s">
        <v>374</v>
      </c>
    </row>
    <row r="9" spans="2:4">
      <c r="B9" t="s">
        <v>380</v>
      </c>
      <c r="C9">
        <v>2.5</v>
      </c>
      <c r="D9" t="s">
        <v>375</v>
      </c>
    </row>
    <row r="10" spans="2:4">
      <c r="B10" t="s">
        <v>382</v>
      </c>
      <c r="C10">
        <v>0.55000000000000004</v>
      </c>
      <c r="D10" t="s">
        <v>377</v>
      </c>
    </row>
    <row r="11" spans="2:4">
      <c r="B11" t="s">
        <v>2</v>
      </c>
      <c r="C11">
        <v>400</v>
      </c>
      <c r="D11" t="s">
        <v>377</v>
      </c>
    </row>
    <row r="13" spans="2:4">
      <c r="B13" t="s">
        <v>381</v>
      </c>
      <c r="C13" s="2">
        <f>C8/C9</f>
        <v>80</v>
      </c>
      <c r="D13" t="s">
        <v>376</v>
      </c>
    </row>
    <row r="14" spans="2:4">
      <c r="B14" t="s">
        <v>383</v>
      </c>
      <c r="C14" s="22">
        <f>PI()*C10^2</f>
        <v>0.9503317777109126</v>
      </c>
      <c r="D14" t="s">
        <v>378</v>
      </c>
    </row>
    <row r="15" spans="2:4">
      <c r="B15" t="s">
        <v>384</v>
      </c>
      <c r="C15" s="29">
        <f>(C13*1000/C14)/60</f>
        <v>1403.018782077314</v>
      </c>
      <c r="D15" t="s">
        <v>385</v>
      </c>
    </row>
    <row r="16" spans="2:4">
      <c r="B16" t="s">
        <v>386</v>
      </c>
      <c r="C16" s="1">
        <f>C11/C15</f>
        <v>0.28509953331327381</v>
      </c>
      <c r="D16" t="s">
        <v>362</v>
      </c>
    </row>
    <row r="17" spans="2:5">
      <c r="B17" t="s">
        <v>387</v>
      </c>
      <c r="C17" s="29">
        <f>2*PI()*C10*C11</f>
        <v>1382.3007675795091</v>
      </c>
      <c r="D17" t="s">
        <v>378</v>
      </c>
    </row>
    <row r="19" spans="2:5">
      <c r="B19" t="s">
        <v>391</v>
      </c>
      <c r="C19">
        <f>C9*1.1644</f>
        <v>2.9110000000000005</v>
      </c>
      <c r="D19" t="s">
        <v>4</v>
      </c>
    </row>
    <row r="20" spans="2:5">
      <c r="B20" t="s">
        <v>390</v>
      </c>
      <c r="C20" s="32">
        <v>1.9830000000000002E-5</v>
      </c>
      <c r="D20" t="s">
        <v>393</v>
      </c>
      <c r="E20" s="32"/>
    </row>
    <row r="21" spans="2:5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>
      <c r="B22" t="s">
        <v>355</v>
      </c>
      <c r="C22">
        <f>C10/100</f>
        <v>5.5000000000000005E-3</v>
      </c>
      <c r="D22" t="s">
        <v>392</v>
      </c>
    </row>
    <row r="23" spans="2:5">
      <c r="B23" t="s">
        <v>389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F27" sqref="F27"/>
    </sheetView>
  </sheetViews>
  <sheetFormatPr baseColWidth="10" defaultRowHeight="16"/>
  <sheetData>
    <row r="5" spans="3:4">
      <c r="C5" t="s">
        <v>232</v>
      </c>
    </row>
    <row r="6" spans="3:4">
      <c r="C6" t="s">
        <v>233</v>
      </c>
    </row>
    <row r="7" spans="3:4">
      <c r="C7" t="s">
        <v>234</v>
      </c>
    </row>
    <row r="11" spans="3:4">
      <c r="C11">
        <v>28.317</v>
      </c>
    </row>
    <row r="12" spans="3:4">
      <c r="C12" t="s">
        <v>236</v>
      </c>
      <c r="D12">
        <v>20</v>
      </c>
    </row>
    <row r="13" spans="3:4">
      <c r="C13" t="s">
        <v>235</v>
      </c>
      <c r="D13" s="1">
        <f>D12/C11</f>
        <v>0.70628950806935764</v>
      </c>
    </row>
    <row r="15" spans="3:4">
      <c r="C15" t="s">
        <v>237</v>
      </c>
      <c r="D15">
        <v>200</v>
      </c>
    </row>
    <row r="16" spans="3:4">
      <c r="C16" t="s">
        <v>238</v>
      </c>
      <c r="D16" s="2">
        <f>D13*D15/3</f>
        <v>47.085967204623842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4"/>
  <sheetViews>
    <sheetView topLeftCell="B3" workbookViewId="0">
      <selection activeCell="R23" sqref="R23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9">
      <c r="B2" s="4" t="s">
        <v>23</v>
      </c>
    </row>
    <row r="3" spans="1:19" s="7" customFormat="1" ht="51">
      <c r="B3" s="6" t="s">
        <v>9</v>
      </c>
      <c r="C3" s="6" t="s">
        <v>28</v>
      </c>
      <c r="D3" s="6" t="s">
        <v>29</v>
      </c>
      <c r="E3" s="6" t="s">
        <v>29</v>
      </c>
      <c r="F3" s="6" t="s">
        <v>31</v>
      </c>
      <c r="G3" s="7" t="s">
        <v>24</v>
      </c>
      <c r="H3" s="7" t="s">
        <v>27</v>
      </c>
      <c r="I3" s="7" t="s">
        <v>293</v>
      </c>
      <c r="K3" s="6" t="s">
        <v>25</v>
      </c>
      <c r="L3" s="7" t="s">
        <v>30</v>
      </c>
      <c r="M3" s="6" t="s">
        <v>26</v>
      </c>
      <c r="O3" s="7" t="s">
        <v>831</v>
      </c>
      <c r="P3" s="7" t="s">
        <v>832</v>
      </c>
      <c r="Q3" s="7" t="s">
        <v>833</v>
      </c>
      <c r="R3" s="7" t="s">
        <v>14</v>
      </c>
    </row>
    <row r="4" spans="1:19">
      <c r="B4" s="3" t="s">
        <v>14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  <c r="O4" s="3">
        <v>0.89</v>
      </c>
      <c r="P4" s="3">
        <v>0.89</v>
      </c>
      <c r="Q4" s="3">
        <v>0.89</v>
      </c>
      <c r="R4" s="3">
        <v>0.89</v>
      </c>
      <c r="S4" s="3">
        <v>0.25</v>
      </c>
    </row>
    <row r="5" spans="1:19">
      <c r="A5" s="3" t="s">
        <v>22</v>
      </c>
      <c r="B5" s="3" t="s">
        <v>10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  <c r="O5" s="3">
        <v>1</v>
      </c>
      <c r="P5" s="3">
        <v>1</v>
      </c>
      <c r="Q5" s="3">
        <v>1</v>
      </c>
      <c r="R5" s="3">
        <v>1.68</v>
      </c>
      <c r="S5" s="3">
        <v>0.375</v>
      </c>
    </row>
    <row r="6" spans="1:19">
      <c r="A6" s="3" t="s">
        <v>21</v>
      </c>
      <c r="B6" s="3" t="s">
        <v>11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  <c r="O6" s="3">
        <v>70</v>
      </c>
      <c r="P6" s="3">
        <v>70</v>
      </c>
      <c r="Q6" s="3">
        <v>70</v>
      </c>
      <c r="R6" s="3">
        <v>2.79</v>
      </c>
      <c r="S6" s="3">
        <v>0.5</v>
      </c>
    </row>
    <row r="7" spans="1:19">
      <c r="A7" s="3" t="s">
        <v>18</v>
      </c>
      <c r="B7" s="3" t="s">
        <v>12</v>
      </c>
      <c r="C7" s="3">
        <v>25</v>
      </c>
      <c r="D7" s="3">
        <v>25</v>
      </c>
      <c r="E7" s="3">
        <v>1</v>
      </c>
      <c r="F7" s="3">
        <v>28</v>
      </c>
      <c r="G7" s="3">
        <v>10</v>
      </c>
      <c r="H7" s="3">
        <v>28</v>
      </c>
      <c r="I7" s="3">
        <v>20</v>
      </c>
      <c r="K7" s="3">
        <v>35</v>
      </c>
      <c r="L7" s="3">
        <v>25</v>
      </c>
      <c r="M7" s="3">
        <v>100</v>
      </c>
      <c r="O7" s="3">
        <v>20</v>
      </c>
      <c r="P7" s="3">
        <v>19</v>
      </c>
      <c r="Q7" s="3">
        <v>15</v>
      </c>
    </row>
    <row r="8" spans="1:19">
      <c r="A8" s="3" t="s">
        <v>18</v>
      </c>
      <c r="B8" s="3" t="s">
        <v>13</v>
      </c>
      <c r="C8" s="3">
        <v>23</v>
      </c>
      <c r="D8" s="3">
        <v>2</v>
      </c>
      <c r="E8" s="3">
        <v>0</v>
      </c>
      <c r="F8" s="3">
        <v>27.7</v>
      </c>
      <c r="G8" s="3">
        <v>7</v>
      </c>
      <c r="H8" s="3">
        <v>27</v>
      </c>
      <c r="I8" s="3">
        <v>5</v>
      </c>
      <c r="K8" s="3">
        <v>0</v>
      </c>
      <c r="L8" s="3">
        <v>0</v>
      </c>
      <c r="M8" s="3">
        <v>28</v>
      </c>
      <c r="O8" s="3">
        <v>19</v>
      </c>
      <c r="P8" s="3">
        <v>2</v>
      </c>
      <c r="Q8" s="3">
        <v>13.5</v>
      </c>
    </row>
    <row r="9" spans="1:19">
      <c r="A9" s="3"/>
      <c r="F9" s="3"/>
      <c r="G9" s="3"/>
      <c r="H9" s="3"/>
      <c r="I9" s="3"/>
      <c r="K9" s="3"/>
      <c r="L9" s="3"/>
      <c r="M9" s="3"/>
      <c r="O9" s="3"/>
      <c r="P9" s="3"/>
      <c r="Q9" s="3"/>
    </row>
    <row r="10" spans="1:19">
      <c r="A10" s="3" t="s">
        <v>15</v>
      </c>
      <c r="B10" s="3" t="s">
        <v>20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47.0067702141843</v>
      </c>
      <c r="H10" s="5">
        <f t="shared" ref="H10:I10" si="1">962*H4*SQRT(((H7+14.7)^2-(H8+14.7)^2)/(H5*(H6+460)))</f>
        <v>73.205213847627235</v>
      </c>
      <c r="I10" s="5">
        <f t="shared" si="1"/>
        <v>682.86857041431574</v>
      </c>
      <c r="K10" s="5">
        <f>962*K4*SQRT(((K7+14.7)^2-(K8+14.7)^2)/(K5*(K6+460)))</f>
        <v>357.0973260452663</v>
      </c>
      <c r="L10" s="5">
        <f>962*L4*SQRT(((L7+14.7)^2-(L8+14.7)^2)/(L5*(L6+460)))</f>
        <v>385.25350634477479</v>
      </c>
      <c r="M10" s="5">
        <f t="shared" ref="M10:O10" si="2">962*M4*SQRT(((M7+14.7)^2-(M8+14.7)^2)/(M5*(M6+460)))</f>
        <v>444.84196394963237</v>
      </c>
      <c r="O10" s="5">
        <f t="shared" si="2"/>
        <v>307.57794766057953</v>
      </c>
      <c r="P10" s="5">
        <f t="shared" ref="P10:Q10" si="3">962*P4*SQRT(((P7+14.7)^2-(P8+14.7)^2)/(P5*(P6+460)))</f>
        <v>1088.596347430185</v>
      </c>
      <c r="Q10" s="5">
        <f t="shared" si="3"/>
        <v>346.58682951911646</v>
      </c>
    </row>
    <row r="11" spans="1:19">
      <c r="A11" s="3" t="s">
        <v>15</v>
      </c>
      <c r="B11" s="3" t="s">
        <v>16</v>
      </c>
      <c r="C11" s="5">
        <f t="shared" ref="C11" si="4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83.474309380710793</v>
      </c>
      <c r="H11" s="5">
        <f t="shared" ref="H11:I11" si="5">H4*(816*(H7+14.7)/SQRT(H5*(H6+460)))</f>
        <v>288.61157980213369</v>
      </c>
      <c r="I11" s="5">
        <f t="shared" si="5"/>
        <v>703.61745801878476</v>
      </c>
      <c r="K11" s="5">
        <f>K4*(816*(K7+14.7)/SQRT(K5*(K6+460)))</f>
        <v>317.08895723468697</v>
      </c>
      <c r="L11" s="5">
        <f>L4*(816*(L7+14.7)/SQRT(L5*(L6+460)))</f>
        <v>351.78939196895465</v>
      </c>
      <c r="M11" s="5">
        <f t="shared" ref="M11:O11" si="6">M4*(816*(M7+14.7)/SQRT(M5*(M6+460)))</f>
        <v>406.55156935858031</v>
      </c>
      <c r="O11" s="5">
        <f t="shared" si="6"/>
        <v>1094.6409866173528</v>
      </c>
      <c r="P11" s="5">
        <f t="shared" ref="P11:Q11" si="7">P4*(816*(P7+14.7)/SQRT(P5*(P6+460)))</f>
        <v>1063.0951368589276</v>
      </c>
      <c r="Q11" s="5">
        <f t="shared" si="7"/>
        <v>936.91173782522708</v>
      </c>
    </row>
    <row r="12" spans="1:19">
      <c r="A12" s="3"/>
      <c r="F12" s="3"/>
      <c r="G12" s="3"/>
      <c r="H12" s="3"/>
      <c r="I12" s="3"/>
      <c r="K12" s="3"/>
      <c r="L12" s="3"/>
      <c r="M12" s="3"/>
      <c r="O12" s="3"/>
      <c r="P12" s="3"/>
      <c r="Q12" s="3"/>
    </row>
    <row r="13" spans="1:19">
      <c r="A13" s="3" t="s">
        <v>17</v>
      </c>
      <c r="B13" s="3" t="s">
        <v>19</v>
      </c>
      <c r="C13" s="5">
        <f t="shared" ref="C13" si="8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22.184688513350235</v>
      </c>
      <c r="H13" s="5">
        <f t="shared" ref="H13:I13" si="9">MIN(H10*28.3168/60, H11*28.3168/60)</f>
        <v>34.54895665800818</v>
      </c>
      <c r="I13" s="5">
        <f t="shared" si="9"/>
        <v>322.27754557846828</v>
      </c>
      <c r="K13" s="5">
        <f>MIN(K10*28.3168/60, K11*28.3168/60)</f>
        <v>149.64907640371973</v>
      </c>
      <c r="L13" s="5">
        <f>MIN(L10*28.3168/60, L11*28.3168/60)</f>
        <v>166.02583090844158</v>
      </c>
      <c r="M13" s="5">
        <f t="shared" ref="M13:O13" si="10">MIN(M10*28.3168/60, M11*28.3168/60)</f>
        <v>191.87065798688411</v>
      </c>
      <c r="O13" s="5">
        <f t="shared" si="10"/>
        <v>145.16038713858498</v>
      </c>
      <c r="P13" s="5">
        <f t="shared" ref="P13:Q13" si="11">MIN(P10*28.3168/60, P11*28.3168/60)</f>
        <v>501.72420619011467</v>
      </c>
      <c r="Q13" s="5">
        <f t="shared" si="11"/>
        <v>163.57049890211528</v>
      </c>
    </row>
    <row r="14" spans="1:19">
      <c r="A14" s="19" t="s">
        <v>294</v>
      </c>
      <c r="B14" s="3" t="s">
        <v>19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12">MIN(E10/60, E11/60)</f>
        <v>2.303954664124193</v>
      </c>
      <c r="F14" s="5">
        <f t="shared" si="12"/>
        <v>0.77168984939867924</v>
      </c>
      <c r="G14" s="5">
        <f t="shared" si="12"/>
        <v>0.78344617023640495</v>
      </c>
      <c r="H14" s="5">
        <f t="shared" si="12"/>
        <v>1.220086897460454</v>
      </c>
      <c r="I14" s="5">
        <f t="shared" si="12"/>
        <v>11.381142840238596</v>
      </c>
      <c r="K14" s="5">
        <f t="shared" si="12"/>
        <v>5.2848159539114494</v>
      </c>
      <c r="L14" s="5">
        <f t="shared" si="12"/>
        <v>5.8631565328159105</v>
      </c>
      <c r="M14" s="5">
        <f t="shared" si="12"/>
        <v>6.7758594893096715</v>
      </c>
      <c r="O14" s="5">
        <f t="shared" ref="O14:Q14" si="13">MIN(O10/60, O11/60)</f>
        <v>5.126299127676325</v>
      </c>
      <c r="P14" s="5">
        <f t="shared" si="13"/>
        <v>17.718252280982128</v>
      </c>
      <c r="Q14" s="5">
        <f t="shared" si="13"/>
        <v>5.7764471586519415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2"/>
  <sheetViews>
    <sheetView topLeftCell="A35" workbookViewId="0">
      <selection activeCell="B43" sqref="B43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35.1640625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9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9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9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9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9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9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  <row r="26" spans="2:9" ht="17">
      <c r="H26" s="18" t="s">
        <v>988</v>
      </c>
      <c r="I26" s="3" t="s">
        <v>250</v>
      </c>
    </row>
    <row r="27" spans="2:9" ht="34">
      <c r="B27" s="17" t="s">
        <v>975</v>
      </c>
      <c r="C27" s="18" t="s">
        <v>966</v>
      </c>
      <c r="H27" s="12" t="s">
        <v>1000</v>
      </c>
      <c r="I27" s="12" t="s">
        <v>967</v>
      </c>
    </row>
    <row r="28" spans="2:9" ht="34">
      <c r="B28" s="17">
        <v>1975</v>
      </c>
      <c r="C28" s="18" t="s">
        <v>989</v>
      </c>
      <c r="H28" s="12" t="s">
        <v>999</v>
      </c>
      <c r="I28" s="12" t="s">
        <v>968</v>
      </c>
    </row>
    <row r="29" spans="2:9" ht="66" customHeight="1">
      <c r="B29" s="17" t="s">
        <v>1001</v>
      </c>
      <c r="C29" s="18" t="s">
        <v>1002</v>
      </c>
      <c r="H29" s="12" t="s">
        <v>1003</v>
      </c>
      <c r="I29" s="12" t="s">
        <v>1006</v>
      </c>
    </row>
    <row r="30" spans="2:9" ht="51">
      <c r="B30" s="17" t="s">
        <v>974</v>
      </c>
      <c r="C30" s="18" t="s">
        <v>970</v>
      </c>
      <c r="H30" s="12" t="s">
        <v>990</v>
      </c>
      <c r="I30" s="12" t="s">
        <v>971</v>
      </c>
    </row>
    <row r="31" spans="2:9" ht="17">
      <c r="B31" s="17">
        <v>1980</v>
      </c>
      <c r="C31" s="18" t="s">
        <v>964</v>
      </c>
      <c r="H31" s="12" t="s">
        <v>991</v>
      </c>
      <c r="I31" s="12" t="s">
        <v>965</v>
      </c>
    </row>
    <row r="32" spans="2:9" ht="39" customHeight="1">
      <c r="B32" s="17" t="s">
        <v>973</v>
      </c>
      <c r="C32" s="18" t="s">
        <v>969</v>
      </c>
      <c r="H32" s="12" t="s">
        <v>998</v>
      </c>
      <c r="I32" s="12" t="s">
        <v>981</v>
      </c>
    </row>
    <row r="33" spans="2:8" ht="51">
      <c r="B33" s="17" t="s">
        <v>1004</v>
      </c>
      <c r="C33" s="18" t="s">
        <v>982</v>
      </c>
      <c r="H33" s="12" t="s">
        <v>1005</v>
      </c>
    </row>
    <row r="34" spans="2:8" ht="51">
      <c r="B34" s="17" t="s">
        <v>976</v>
      </c>
      <c r="C34" s="18" t="s">
        <v>972</v>
      </c>
      <c r="H34" s="12" t="s">
        <v>980</v>
      </c>
    </row>
    <row r="35" spans="2:8" ht="68">
      <c r="B35" s="17" t="s">
        <v>977</v>
      </c>
      <c r="H35" s="12" t="s">
        <v>979</v>
      </c>
    </row>
    <row r="36" spans="2:8" ht="51">
      <c r="B36" s="17" t="s">
        <v>978</v>
      </c>
      <c r="H36" s="12" t="s">
        <v>983</v>
      </c>
    </row>
    <row r="37" spans="2:8" ht="51">
      <c r="B37" s="17" t="s">
        <v>985</v>
      </c>
      <c r="H37" s="12" t="s">
        <v>984</v>
      </c>
    </row>
    <row r="38" spans="2:8" ht="51">
      <c r="B38" s="17" t="s">
        <v>986</v>
      </c>
      <c r="H38" s="12" t="s">
        <v>993</v>
      </c>
    </row>
    <row r="39" spans="2:8" ht="34">
      <c r="B39" s="17" t="s">
        <v>992</v>
      </c>
      <c r="H39" s="12" t="s">
        <v>996</v>
      </c>
    </row>
    <row r="40" spans="2:8" ht="34">
      <c r="B40" s="17" t="s">
        <v>987</v>
      </c>
      <c r="H40" s="12" t="s">
        <v>995</v>
      </c>
    </row>
    <row r="41" spans="2:8" ht="68">
      <c r="B41" s="17" t="s">
        <v>994</v>
      </c>
      <c r="H41" s="12" t="s">
        <v>997</v>
      </c>
    </row>
    <row r="42" spans="2:8" ht="51">
      <c r="B42" s="17" t="s">
        <v>1007</v>
      </c>
      <c r="H42" s="12" t="s">
        <v>1008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695</v>
      </c>
      <c r="E1" t="s">
        <v>371</v>
      </c>
      <c r="F1" t="s">
        <v>694</v>
      </c>
      <c r="G1" t="s">
        <v>696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  <c r="D4" t="s">
        <v>768</v>
      </c>
      <c r="F4" t="s">
        <v>769</v>
      </c>
    </row>
    <row r="5" spans="1:7">
      <c r="B5">
        <v>4</v>
      </c>
      <c r="C5" t="s">
        <v>369</v>
      </c>
      <c r="F5" t="s">
        <v>770</v>
      </c>
    </row>
    <row r="6" spans="1:7">
      <c r="B6">
        <v>4</v>
      </c>
      <c r="C6" t="s">
        <v>367</v>
      </c>
      <c r="F6" t="s">
        <v>771</v>
      </c>
    </row>
    <row r="7" spans="1:7">
      <c r="B7">
        <v>2</v>
      </c>
      <c r="C7" t="s">
        <v>368</v>
      </c>
      <c r="F7" t="s">
        <v>772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399</v>
      </c>
      <c r="C1" s="39" t="s">
        <v>538</v>
      </c>
    </row>
    <row r="2" spans="2:6">
      <c r="B2" s="68" t="s">
        <v>541</v>
      </c>
      <c r="C2" s="36" t="s">
        <v>396</v>
      </c>
    </row>
    <row r="3" spans="2:6">
      <c r="C3" s="37" t="s">
        <v>574</v>
      </c>
    </row>
    <row r="4" spans="2:6">
      <c r="C4" s="40" t="s">
        <v>575</v>
      </c>
    </row>
    <row r="5" spans="2:6">
      <c r="C5" s="66"/>
    </row>
    <row r="6" spans="2:6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>
      <c r="B7" s="34"/>
    </row>
    <row r="8" spans="2:6">
      <c r="B8" t="s">
        <v>401</v>
      </c>
      <c r="C8" t="s">
        <v>500</v>
      </c>
      <c r="D8" t="s">
        <v>555</v>
      </c>
      <c r="E8" t="s">
        <v>401</v>
      </c>
    </row>
    <row r="9" spans="2:6">
      <c r="B9" t="s">
        <v>401</v>
      </c>
      <c r="C9" s="37" t="s">
        <v>568</v>
      </c>
      <c r="D9" s="37" t="s">
        <v>570</v>
      </c>
      <c r="E9" t="s">
        <v>571</v>
      </c>
    </row>
    <row r="10" spans="2:6">
      <c r="B10" t="s">
        <v>402</v>
      </c>
      <c r="C10" t="s">
        <v>442</v>
      </c>
    </row>
    <row r="11" spans="2:6">
      <c r="B11" t="s">
        <v>403</v>
      </c>
      <c r="C11" t="s">
        <v>424</v>
      </c>
    </row>
    <row r="13" spans="2:6">
      <c r="B13" t="s">
        <v>66</v>
      </c>
      <c r="C13" t="s">
        <v>425</v>
      </c>
    </row>
    <row r="14" spans="2:6">
      <c r="B14" t="s">
        <v>572</v>
      </c>
      <c r="C14" s="37" t="s">
        <v>569</v>
      </c>
      <c r="D14" s="37" t="s">
        <v>573</v>
      </c>
    </row>
    <row r="15" spans="2:6">
      <c r="B15" s="67" t="s">
        <v>412</v>
      </c>
      <c r="C15" s="37" t="s">
        <v>426</v>
      </c>
      <c r="D15" s="37" t="s">
        <v>483</v>
      </c>
    </row>
    <row r="16" spans="2:6">
      <c r="B16" t="s">
        <v>404</v>
      </c>
      <c r="C16" t="s">
        <v>427</v>
      </c>
    </row>
    <row r="18" spans="2:5">
      <c r="B18" t="s">
        <v>406</v>
      </c>
      <c r="C18" t="s">
        <v>437</v>
      </c>
      <c r="E18" t="s">
        <v>546</v>
      </c>
    </row>
    <row r="19" spans="2:5">
      <c r="B19" t="s">
        <v>407</v>
      </c>
      <c r="C19" s="37" t="s">
        <v>439</v>
      </c>
      <c r="D19" s="37" t="s">
        <v>556</v>
      </c>
    </row>
    <row r="20" spans="2:5">
      <c r="B20" t="s">
        <v>408</v>
      </c>
      <c r="C20" t="s">
        <v>429</v>
      </c>
    </row>
    <row r="21" spans="2:5">
      <c r="B21" t="s">
        <v>482</v>
      </c>
      <c r="C21" t="s">
        <v>432</v>
      </c>
    </row>
    <row r="22" spans="2:5">
      <c r="B22" t="s">
        <v>410</v>
      </c>
      <c r="C22" s="36" t="s">
        <v>433</v>
      </c>
      <c r="D22" s="36" t="s">
        <v>558</v>
      </c>
      <c r="E22" t="s">
        <v>510</v>
      </c>
    </row>
    <row r="23" spans="2:5">
      <c r="B23" s="67" t="s">
        <v>409</v>
      </c>
      <c r="C23" s="37" t="s">
        <v>430</v>
      </c>
      <c r="D23" s="37" t="s">
        <v>481</v>
      </c>
    </row>
    <row r="25" spans="2:5">
      <c r="B25" t="s">
        <v>411</v>
      </c>
      <c r="C25" t="s">
        <v>438</v>
      </c>
      <c r="E25" t="s">
        <v>547</v>
      </c>
    </row>
    <row r="26" spans="2:5">
      <c r="B26" t="s">
        <v>407</v>
      </c>
      <c r="C26" s="37" t="s">
        <v>440</v>
      </c>
      <c r="D26" s="37" t="s">
        <v>557</v>
      </c>
    </row>
    <row r="27" spans="2:5">
      <c r="B27" t="s">
        <v>408</v>
      </c>
      <c r="C27" t="s">
        <v>434</v>
      </c>
    </row>
    <row r="28" spans="2:5">
      <c r="B28" t="s">
        <v>482</v>
      </c>
      <c r="C28" t="s">
        <v>435</v>
      </c>
    </row>
    <row r="29" spans="2:5">
      <c r="B29" t="s">
        <v>410</v>
      </c>
      <c r="C29" s="36" t="s">
        <v>436</v>
      </c>
      <c r="D29" s="36" t="s">
        <v>559</v>
      </c>
      <c r="E29" t="s">
        <v>510</v>
      </c>
    </row>
    <row r="30" spans="2:5">
      <c r="B30" s="67" t="s">
        <v>409</v>
      </c>
      <c r="C30" s="37" t="s">
        <v>431</v>
      </c>
      <c r="D30" s="37" t="s">
        <v>480</v>
      </c>
    </row>
    <row r="32" spans="2:5">
      <c r="B32" s="67" t="s">
        <v>471</v>
      </c>
      <c r="C32" t="s">
        <v>423</v>
      </c>
      <c r="D32" t="s">
        <v>474</v>
      </c>
    </row>
    <row r="33" spans="2:5">
      <c r="B33" s="67" t="s">
        <v>472</v>
      </c>
      <c r="C33" t="s">
        <v>441</v>
      </c>
      <c r="D33" t="s">
        <v>475</v>
      </c>
    </row>
    <row r="35" spans="2:5">
      <c r="B35" t="s">
        <v>535</v>
      </c>
      <c r="C35" s="39" t="s">
        <v>536</v>
      </c>
      <c r="D35" s="39" t="s">
        <v>548</v>
      </c>
      <c r="E35" t="s">
        <v>537</v>
      </c>
    </row>
    <row r="36" spans="2:5">
      <c r="B36" t="s">
        <v>534</v>
      </c>
      <c r="C36" s="37" t="s">
        <v>428</v>
      </c>
      <c r="D36" s="37" t="s">
        <v>553</v>
      </c>
    </row>
    <row r="38" spans="2:5">
      <c r="B38" t="s">
        <v>530</v>
      </c>
      <c r="C38" t="s">
        <v>501</v>
      </c>
    </row>
    <row r="39" spans="2:5">
      <c r="B39" t="s">
        <v>531</v>
      </c>
      <c r="C39" t="s">
        <v>502</v>
      </c>
      <c r="E39" t="s">
        <v>533</v>
      </c>
    </row>
    <row r="40" spans="2:5">
      <c r="B40" t="s">
        <v>167</v>
      </c>
      <c r="C40" s="37" t="s">
        <v>503</v>
      </c>
      <c r="D40" s="37" t="s">
        <v>554</v>
      </c>
      <c r="E40" t="s">
        <v>511</v>
      </c>
    </row>
    <row r="41" spans="2:5">
      <c r="B41" s="67" t="s">
        <v>532</v>
      </c>
      <c r="C41" t="s">
        <v>504</v>
      </c>
      <c r="D41" t="s">
        <v>505</v>
      </c>
    </row>
    <row r="43" spans="2:5">
      <c r="B43" t="s">
        <v>405</v>
      </c>
      <c r="C43" t="s">
        <v>469</v>
      </c>
    </row>
    <row r="44" spans="2:5">
      <c r="B44" s="67" t="s">
        <v>470</v>
      </c>
      <c r="C44" t="s">
        <v>473</v>
      </c>
      <c r="D44" t="s">
        <v>476</v>
      </c>
    </row>
    <row r="45" spans="2:5">
      <c r="B45" s="67" t="s">
        <v>498</v>
      </c>
      <c r="C45" s="66" t="s">
        <v>422</v>
      </c>
      <c r="D45" t="s">
        <v>499</v>
      </c>
    </row>
    <row r="47" spans="2:5">
      <c r="B47" s="34" t="s">
        <v>413</v>
      </c>
    </row>
    <row r="49" spans="2:5">
      <c r="B49" s="67" t="s">
        <v>414</v>
      </c>
      <c r="C49" s="40" t="s">
        <v>443</v>
      </c>
      <c r="D49" s="40" t="s">
        <v>477</v>
      </c>
    </row>
    <row r="50" spans="2:5">
      <c r="B50" s="67" t="s">
        <v>415</v>
      </c>
      <c r="C50" s="40" t="s">
        <v>444</v>
      </c>
      <c r="D50" s="40" t="s">
        <v>478</v>
      </c>
    </row>
    <row r="51" spans="2:5">
      <c r="B51" s="67" t="s">
        <v>463</v>
      </c>
      <c r="C51" s="40" t="s">
        <v>462</v>
      </c>
      <c r="D51" s="40" t="s">
        <v>479</v>
      </c>
    </row>
    <row r="53" spans="2:5">
      <c r="B53" t="s">
        <v>406</v>
      </c>
      <c r="C53" t="s">
        <v>445</v>
      </c>
      <c r="E53" t="s">
        <v>544</v>
      </c>
    </row>
    <row r="54" spans="2:5">
      <c r="B54" t="s">
        <v>416</v>
      </c>
      <c r="C54" s="38" t="s">
        <v>447</v>
      </c>
      <c r="D54" s="36" t="s">
        <v>560</v>
      </c>
      <c r="E54" t="s">
        <v>510</v>
      </c>
    </row>
    <row r="55" spans="2:5">
      <c r="B55" t="s">
        <v>417</v>
      </c>
      <c r="C55" s="38" t="s">
        <v>448</v>
      </c>
      <c r="D55" s="36" t="s">
        <v>561</v>
      </c>
      <c r="E55" t="s">
        <v>510</v>
      </c>
    </row>
    <row r="56" spans="2:5">
      <c r="B56" t="s">
        <v>418</v>
      </c>
      <c r="C56" s="35" t="s">
        <v>449</v>
      </c>
    </row>
    <row r="57" spans="2:5">
      <c r="B57" t="s">
        <v>419</v>
      </c>
      <c r="C57" s="35" t="s">
        <v>450</v>
      </c>
    </row>
    <row r="59" spans="2:5">
      <c r="B59" t="s">
        <v>411</v>
      </c>
      <c r="C59" t="s">
        <v>446</v>
      </c>
      <c r="E59" t="s">
        <v>545</v>
      </c>
    </row>
    <row r="60" spans="2:5">
      <c r="B60" t="s">
        <v>416</v>
      </c>
      <c r="C60" s="36" t="s">
        <v>451</v>
      </c>
      <c r="D60" s="36" t="s">
        <v>562</v>
      </c>
      <c r="E60" t="s">
        <v>510</v>
      </c>
    </row>
    <row r="61" spans="2:5">
      <c r="B61" t="s">
        <v>417</v>
      </c>
      <c r="C61" s="36" t="s">
        <v>452</v>
      </c>
      <c r="D61" s="36" t="s">
        <v>563</v>
      </c>
      <c r="E61" t="s">
        <v>510</v>
      </c>
    </row>
    <row r="62" spans="2:5">
      <c r="B62" t="s">
        <v>418</v>
      </c>
      <c r="C62" t="s">
        <v>453</v>
      </c>
    </row>
    <row r="63" spans="2:5">
      <c r="B63" t="s">
        <v>419</v>
      </c>
      <c r="C63" t="s">
        <v>454</v>
      </c>
    </row>
    <row r="65" spans="2:5">
      <c r="B65" t="s">
        <v>420</v>
      </c>
      <c r="C65" s="36" t="s">
        <v>455</v>
      </c>
      <c r="D65" s="36" t="s">
        <v>564</v>
      </c>
      <c r="E65" t="s">
        <v>510</v>
      </c>
    </row>
    <row r="66" spans="2:5">
      <c r="B66" s="67" t="s">
        <v>549</v>
      </c>
      <c r="C66" t="s">
        <v>468</v>
      </c>
      <c r="D66" t="s">
        <v>491</v>
      </c>
    </row>
    <row r="67" spans="2:5">
      <c r="B67" t="s">
        <v>421</v>
      </c>
      <c r="C67" s="36" t="s">
        <v>456</v>
      </c>
      <c r="D67" s="36" t="s">
        <v>565</v>
      </c>
      <c r="E67" t="s">
        <v>510</v>
      </c>
    </row>
    <row r="69" spans="2:5">
      <c r="B69" t="s">
        <v>457</v>
      </c>
      <c r="C69" t="s">
        <v>458</v>
      </c>
    </row>
    <row r="70" spans="2:5">
      <c r="B70" s="67" t="s">
        <v>461</v>
      </c>
      <c r="C70" t="s">
        <v>464</v>
      </c>
      <c r="D70" t="s">
        <v>539</v>
      </c>
    </row>
    <row r="71" spans="2:5">
      <c r="B71" s="67" t="s">
        <v>461</v>
      </c>
      <c r="C71" s="40" t="s">
        <v>464</v>
      </c>
      <c r="D71" s="40" t="s">
        <v>484</v>
      </c>
    </row>
    <row r="72" spans="2:5">
      <c r="B72" t="s">
        <v>459</v>
      </c>
      <c r="C72" t="s">
        <v>460</v>
      </c>
    </row>
    <row r="73" spans="2:5">
      <c r="B73" s="67" t="s">
        <v>465</v>
      </c>
      <c r="C73" s="66" t="s">
        <v>466</v>
      </c>
      <c r="D73" t="s">
        <v>540</v>
      </c>
    </row>
    <row r="74" spans="2:5">
      <c r="B74" s="67" t="s">
        <v>465</v>
      </c>
      <c r="C74" s="40" t="s">
        <v>466</v>
      </c>
      <c r="D74" s="40" t="s">
        <v>485</v>
      </c>
    </row>
    <row r="75" spans="2:5">
      <c r="B75" s="67" t="s">
        <v>467</v>
      </c>
      <c r="C75" s="40" t="s">
        <v>487</v>
      </c>
      <c r="D75" s="40" t="s">
        <v>488</v>
      </c>
    </row>
    <row r="76" spans="2:5">
      <c r="B76" s="67" t="s">
        <v>467</v>
      </c>
      <c r="C76" s="66" t="s">
        <v>487</v>
      </c>
      <c r="D76" t="s">
        <v>552</v>
      </c>
    </row>
    <row r="77" spans="2:5">
      <c r="B77" s="67" t="s">
        <v>593</v>
      </c>
      <c r="C77" s="40" t="s">
        <v>592</v>
      </c>
      <c r="D77" s="40" t="s">
        <v>594</v>
      </c>
      <c r="E77" t="s">
        <v>595</v>
      </c>
    </row>
    <row r="79" spans="2:5">
      <c r="B79" s="67" t="s">
        <v>486</v>
      </c>
      <c r="C79" t="s">
        <v>489</v>
      </c>
      <c r="D79" t="s">
        <v>490</v>
      </c>
    </row>
    <row r="80" spans="2:5">
      <c r="B80" s="67" t="s">
        <v>550</v>
      </c>
      <c r="C80" t="s">
        <v>493</v>
      </c>
      <c r="D80" t="s">
        <v>492</v>
      </c>
    </row>
    <row r="81" spans="2:5">
      <c r="B81" s="67" t="s">
        <v>551</v>
      </c>
      <c r="C81" t="s">
        <v>494</v>
      </c>
      <c r="D81" t="s">
        <v>495</v>
      </c>
    </row>
    <row r="82" spans="2:5">
      <c r="B82" s="67" t="s">
        <v>24</v>
      </c>
      <c r="C82" t="s">
        <v>496</v>
      </c>
      <c r="D82" t="s">
        <v>497</v>
      </c>
    </row>
    <row r="83" spans="2:5">
      <c r="B83" s="67" t="s">
        <v>597</v>
      </c>
      <c r="C83" t="s">
        <v>598</v>
      </c>
      <c r="D83" t="s">
        <v>599</v>
      </c>
    </row>
    <row r="85" spans="2:5">
      <c r="B85" t="s">
        <v>506</v>
      </c>
      <c r="C85" t="s">
        <v>460</v>
      </c>
      <c r="D85" t="s">
        <v>508</v>
      </c>
    </row>
    <row r="86" spans="2:5">
      <c r="B86" s="67" t="s">
        <v>600</v>
      </c>
      <c r="C86" t="s">
        <v>601</v>
      </c>
      <c r="D86" t="s">
        <v>602</v>
      </c>
    </row>
    <row r="87" spans="2:5">
      <c r="B87" t="s">
        <v>507</v>
      </c>
      <c r="C87" s="36" t="s">
        <v>509</v>
      </c>
      <c r="D87" s="36" t="s">
        <v>566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M86"/>
  <sheetViews>
    <sheetView workbookViewId="0">
      <selection activeCell="D82" sqref="D82"/>
    </sheetView>
  </sheetViews>
  <sheetFormatPr baseColWidth="10" defaultRowHeight="16"/>
  <cols>
    <col min="2" max="2" width="85.33203125" customWidth="1"/>
  </cols>
  <sheetData>
    <row r="6" spans="2:2" ht="21">
      <c r="B6" s="73" t="s">
        <v>709</v>
      </c>
    </row>
    <row r="8" spans="2:2" ht="18">
      <c r="B8" s="73" t="s">
        <v>702</v>
      </c>
    </row>
    <row r="10" spans="2:2" ht="18">
      <c r="B10" s="73" t="s">
        <v>703</v>
      </c>
    </row>
    <row r="12" spans="2:2" ht="18">
      <c r="B12" s="73" t="s">
        <v>704</v>
      </c>
    </row>
    <row r="14" spans="2:2" ht="18">
      <c r="B14" s="73" t="s">
        <v>705</v>
      </c>
    </row>
    <row r="16" spans="2:2" ht="20">
      <c r="B16" s="73" t="s">
        <v>706</v>
      </c>
    </row>
    <row r="18" spans="2:10" ht="20">
      <c r="B18" s="73" t="s">
        <v>707</v>
      </c>
    </row>
    <row r="20" spans="2:10" ht="18">
      <c r="B20" s="74" t="s">
        <v>708</v>
      </c>
    </row>
    <row r="23" spans="2:10">
      <c r="C23" t="s">
        <v>516</v>
      </c>
      <c r="D23">
        <v>1</v>
      </c>
      <c r="E23" t="s">
        <v>710</v>
      </c>
      <c r="G23" t="s">
        <v>516</v>
      </c>
      <c r="H23">
        <v>1</v>
      </c>
      <c r="I23">
        <v>1</v>
      </c>
      <c r="J23" t="s">
        <v>710</v>
      </c>
    </row>
    <row r="24" spans="2:10">
      <c r="C24" t="s">
        <v>711</v>
      </c>
      <c r="D24">
        <v>1.41</v>
      </c>
      <c r="E24" t="s">
        <v>717</v>
      </c>
      <c r="G24" t="s">
        <v>711</v>
      </c>
      <c r="H24">
        <v>1.41</v>
      </c>
      <c r="I24">
        <v>1.41</v>
      </c>
      <c r="J24" t="s">
        <v>717</v>
      </c>
    </row>
    <row r="25" spans="2:10">
      <c r="C25" t="s">
        <v>712</v>
      </c>
      <c r="D25">
        <v>14.7</v>
      </c>
      <c r="E25" t="s">
        <v>716</v>
      </c>
      <c r="G25" t="s">
        <v>712</v>
      </c>
      <c r="H25">
        <v>14.7</v>
      </c>
      <c r="I25">
        <v>1.5</v>
      </c>
      <c r="J25" t="s">
        <v>716</v>
      </c>
    </row>
    <row r="26" spans="2:10">
      <c r="C26" t="s">
        <v>713</v>
      </c>
      <c r="D26" s="66">
        <f>D29+14.7</f>
        <v>60</v>
      </c>
      <c r="E26" t="s">
        <v>716</v>
      </c>
      <c r="G26" t="s">
        <v>713</v>
      </c>
      <c r="H26" s="66">
        <v>30</v>
      </c>
      <c r="I26" s="66">
        <v>14.7</v>
      </c>
      <c r="J26" t="s">
        <v>716</v>
      </c>
    </row>
    <row r="28" spans="2:10">
      <c r="C28" t="s">
        <v>715</v>
      </c>
      <c r="D28" s="26">
        <v>5</v>
      </c>
      <c r="E28" t="s">
        <v>294</v>
      </c>
      <c r="G28" t="s">
        <v>715</v>
      </c>
      <c r="H28" s="26">
        <v>12</v>
      </c>
      <c r="I28" s="26">
        <v>7</v>
      </c>
      <c r="J28" t="s">
        <v>294</v>
      </c>
    </row>
    <row r="29" spans="2:10">
      <c r="C29" t="s">
        <v>714</v>
      </c>
      <c r="D29" s="26">
        <v>45.3</v>
      </c>
      <c r="E29" t="s">
        <v>18</v>
      </c>
      <c r="G29" t="s">
        <v>714</v>
      </c>
      <c r="H29" s="26">
        <v>45.3</v>
      </c>
      <c r="I29" s="26">
        <v>45.3</v>
      </c>
      <c r="J29" t="s">
        <v>18</v>
      </c>
    </row>
    <row r="31" spans="2:10">
      <c r="C31" t="s">
        <v>720</v>
      </c>
      <c r="D31" s="22">
        <f>(144*D23*D25*D28*D24/(33000*(D24-1)))*((D26/D25)^((D24-1)/(D23*D24))-1)</f>
        <v>0.55732237182397459</v>
      </c>
      <c r="G31" t="s">
        <v>720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>
      <c r="C32" t="s">
        <v>719</v>
      </c>
      <c r="D32">
        <v>0.8</v>
      </c>
      <c r="G32" t="s">
        <v>719</v>
      </c>
      <c r="H32">
        <v>0.8</v>
      </c>
      <c r="I32">
        <v>0.8</v>
      </c>
    </row>
    <row r="33" spans="3:13">
      <c r="C33" t="s">
        <v>718</v>
      </c>
      <c r="D33" s="1">
        <f>D31*0.7457/D32</f>
        <v>0.51949411583642224</v>
      </c>
      <c r="G33" t="s">
        <v>718</v>
      </c>
      <c r="H33" s="1">
        <f>H31*0.7457/H32</f>
        <v>0.56878038311928969</v>
      </c>
      <c r="I33" s="1">
        <f>I31*0.7457/I32</f>
        <v>0.13834267778520828</v>
      </c>
    </row>
    <row r="38" spans="3:13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711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712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713</v>
      </c>
      <c r="D41" s="66">
        <f t="shared" ref="D41:M41" si="0">D44+14.7</f>
        <v>29.7</v>
      </c>
      <c r="E41" s="66">
        <f t="shared" si="0"/>
        <v>29.7</v>
      </c>
      <c r="F41" s="66">
        <f t="shared" si="0"/>
        <v>29.7</v>
      </c>
      <c r="G41" s="66">
        <f t="shared" si="0"/>
        <v>29.7</v>
      </c>
      <c r="H41" s="66">
        <f t="shared" si="0"/>
        <v>29.7</v>
      </c>
      <c r="I41" s="66">
        <f t="shared" si="0"/>
        <v>29.7</v>
      </c>
      <c r="J41" s="66">
        <f t="shared" si="0"/>
        <v>29.7</v>
      </c>
      <c r="K41" s="66">
        <f t="shared" si="0"/>
        <v>29.7</v>
      </c>
      <c r="L41" s="66">
        <f t="shared" si="0"/>
        <v>29.7</v>
      </c>
      <c r="M41" s="66">
        <f t="shared" si="0"/>
        <v>29.7</v>
      </c>
    </row>
    <row r="43" spans="3:13">
      <c r="C43" t="s">
        <v>715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>
      <c r="C44" t="s">
        <v>714</v>
      </c>
      <c r="D44" s="26">
        <v>15</v>
      </c>
      <c r="E44" s="26">
        <v>15</v>
      </c>
      <c r="F44" s="26">
        <v>15</v>
      </c>
      <c r="G44" s="26">
        <v>15</v>
      </c>
      <c r="H44" s="26">
        <v>15</v>
      </c>
      <c r="I44" s="26">
        <v>15</v>
      </c>
      <c r="J44" s="26">
        <v>15</v>
      </c>
      <c r="K44" s="26">
        <v>15</v>
      </c>
      <c r="L44" s="26">
        <v>15</v>
      </c>
      <c r="M44" s="26">
        <v>15</v>
      </c>
    </row>
    <row r="46" spans="3:13">
      <c r="C46" t="s">
        <v>720</v>
      </c>
      <c r="D46" s="22">
        <f t="shared" ref="D46:M46" si="1">(144*D38*D40*D43*D39/(33000*(D39-1)))*((D41/D40)^((D39-1)/(D38*D39))-1)</f>
        <v>0.10011532880655918</v>
      </c>
      <c r="E46" s="22">
        <f t="shared" si="1"/>
        <v>0.20023065761311837</v>
      </c>
      <c r="F46" s="22">
        <f t="shared" si="1"/>
        <v>0.30034598641967758</v>
      </c>
      <c r="G46" s="22">
        <f t="shared" si="1"/>
        <v>0.40046131522623674</v>
      </c>
      <c r="H46" s="22">
        <f t="shared" si="1"/>
        <v>0.50057664403279589</v>
      </c>
      <c r="I46" s="22">
        <f t="shared" si="1"/>
        <v>0.60069197283935516</v>
      </c>
      <c r="J46" s="22">
        <f t="shared" si="1"/>
        <v>0.7008073016459142</v>
      </c>
      <c r="K46" s="22">
        <f t="shared" si="1"/>
        <v>0.80092263045247347</v>
      </c>
      <c r="L46" s="22">
        <f t="shared" si="1"/>
        <v>0.90103795925903263</v>
      </c>
      <c r="M46" s="22">
        <f t="shared" si="1"/>
        <v>1.0011532880655918</v>
      </c>
    </row>
    <row r="47" spans="3:13">
      <c r="C47" t="s">
        <v>719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718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711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712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713</v>
      </c>
      <c r="D55" s="66">
        <f t="shared" ref="D55:M55" si="3">D58+14.7</f>
        <v>39.700000000000003</v>
      </c>
      <c r="E55" s="66">
        <f t="shared" si="3"/>
        <v>39.700000000000003</v>
      </c>
      <c r="F55" s="66">
        <f t="shared" si="3"/>
        <v>39.700000000000003</v>
      </c>
      <c r="G55" s="66">
        <f t="shared" si="3"/>
        <v>39.700000000000003</v>
      </c>
      <c r="H55" s="66">
        <f t="shared" si="3"/>
        <v>39.700000000000003</v>
      </c>
      <c r="I55" s="66">
        <f t="shared" si="3"/>
        <v>39.700000000000003</v>
      </c>
      <c r="J55" s="66">
        <f t="shared" si="3"/>
        <v>39.700000000000003</v>
      </c>
      <c r="K55" s="66">
        <f t="shared" si="3"/>
        <v>39.700000000000003</v>
      </c>
      <c r="L55" s="66">
        <f t="shared" si="3"/>
        <v>39.700000000000003</v>
      </c>
      <c r="M55" s="66">
        <f t="shared" si="3"/>
        <v>39.700000000000003</v>
      </c>
    </row>
    <row r="57" spans="3:13">
      <c r="C57" t="s">
        <v>715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>
      <c r="C58" t="s">
        <v>714</v>
      </c>
      <c r="D58" s="26">
        <v>25</v>
      </c>
      <c r="E58" s="26">
        <v>25</v>
      </c>
      <c r="F58" s="26">
        <v>25</v>
      </c>
      <c r="G58" s="26">
        <v>25</v>
      </c>
      <c r="H58" s="26">
        <v>25</v>
      </c>
      <c r="I58" s="26">
        <v>25</v>
      </c>
      <c r="J58" s="26">
        <v>25</v>
      </c>
      <c r="K58" s="26">
        <v>25</v>
      </c>
      <c r="L58" s="26">
        <v>25</v>
      </c>
      <c r="M58" s="26">
        <v>25</v>
      </c>
    </row>
    <row r="60" spans="3:13">
      <c r="C60" t="s">
        <v>720</v>
      </c>
      <c r="D60" s="22">
        <f t="shared" ref="D60:M60" si="4">(144*D52*D54*D57*D53/(33000*(D53-1)))*((D55/D54)^((D53-1)/(D52*D53))-1)</f>
        <v>0.14777686857041858</v>
      </c>
      <c r="E60" s="22">
        <f t="shared" si="4"/>
        <v>0.29555373714083716</v>
      </c>
      <c r="F60" s="22">
        <f t="shared" si="4"/>
        <v>0.44333060571125571</v>
      </c>
      <c r="G60" s="22">
        <f t="shared" si="4"/>
        <v>0.59110747428167432</v>
      </c>
      <c r="H60" s="22">
        <f t="shared" si="4"/>
        <v>0.73888434285209292</v>
      </c>
      <c r="I60" s="22">
        <f t="shared" si="4"/>
        <v>0.88666121142251142</v>
      </c>
      <c r="J60" s="22">
        <f t="shared" si="4"/>
        <v>1.0344380799929298</v>
      </c>
      <c r="K60" s="22">
        <f t="shared" si="4"/>
        <v>1.1822149485633486</v>
      </c>
      <c r="L60" s="22">
        <f t="shared" si="4"/>
        <v>1.3299918171337672</v>
      </c>
      <c r="M60" s="22">
        <f t="shared" si="4"/>
        <v>1.4777686857041858</v>
      </c>
    </row>
    <row r="61" spans="3:13">
      <c r="C61" t="s">
        <v>719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718</v>
      </c>
      <c r="D62" s="1">
        <f t="shared" ref="D62:M62" si="5">D60*0.7457/D61</f>
        <v>0.13774651361620141</v>
      </c>
      <c r="E62" s="1">
        <f t="shared" si="5"/>
        <v>0.27549302723240282</v>
      </c>
      <c r="F62" s="1">
        <f t="shared" si="5"/>
        <v>0.41323954084860426</v>
      </c>
      <c r="G62" s="1">
        <f t="shared" si="5"/>
        <v>0.55098605446480564</v>
      </c>
      <c r="H62" s="1">
        <f t="shared" si="5"/>
        <v>0.68873256808100713</v>
      </c>
      <c r="I62" s="1">
        <f t="shared" si="5"/>
        <v>0.82647908169720852</v>
      </c>
      <c r="J62" s="1">
        <f t="shared" si="5"/>
        <v>0.96422559531340968</v>
      </c>
      <c r="K62" s="1">
        <f t="shared" si="5"/>
        <v>1.1019721089296113</v>
      </c>
      <c r="L62" s="1">
        <f t="shared" si="5"/>
        <v>1.2397186225458128</v>
      </c>
      <c r="M62" s="1">
        <f t="shared" si="5"/>
        <v>1.3774651361620143</v>
      </c>
    </row>
    <row r="66" spans="3:13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711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712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713</v>
      </c>
      <c r="D69" s="66">
        <f t="shared" ref="D69:M69" si="6">D72+14.7</f>
        <v>54.7</v>
      </c>
      <c r="E69" s="66">
        <f t="shared" si="6"/>
        <v>54.7</v>
      </c>
      <c r="F69" s="66">
        <f t="shared" si="6"/>
        <v>54.7</v>
      </c>
      <c r="G69" s="66">
        <f t="shared" si="6"/>
        <v>54.7</v>
      </c>
      <c r="H69" s="66">
        <f t="shared" si="6"/>
        <v>54.7</v>
      </c>
      <c r="I69" s="66">
        <f t="shared" si="6"/>
        <v>54.7</v>
      </c>
      <c r="J69" s="66">
        <f t="shared" si="6"/>
        <v>54.7</v>
      </c>
      <c r="K69" s="66">
        <f t="shared" si="6"/>
        <v>54.7</v>
      </c>
      <c r="L69" s="66">
        <f t="shared" si="6"/>
        <v>54.7</v>
      </c>
      <c r="M69" s="66">
        <f t="shared" si="6"/>
        <v>54.7</v>
      </c>
    </row>
    <row r="71" spans="3:13">
      <c r="C71" t="s">
        <v>715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>
      <c r="C72" t="s">
        <v>714</v>
      </c>
      <c r="D72" s="26">
        <v>40</v>
      </c>
      <c r="E72" s="26">
        <v>40</v>
      </c>
      <c r="F72" s="26">
        <v>40</v>
      </c>
      <c r="G72" s="26">
        <v>40</v>
      </c>
      <c r="H72" s="26">
        <v>40</v>
      </c>
      <c r="I72" s="26">
        <v>40</v>
      </c>
      <c r="J72" s="26">
        <v>40</v>
      </c>
      <c r="K72" s="26">
        <v>40</v>
      </c>
      <c r="L72" s="26">
        <v>40</v>
      </c>
      <c r="M72" s="26">
        <v>40</v>
      </c>
    </row>
    <row r="74" spans="3:13">
      <c r="C74" t="s">
        <v>720</v>
      </c>
      <c r="D74" s="22">
        <f t="shared" ref="D74:M74" si="7">(144*D66*D68*D71*D67/(33000*(D67-1)))*((D69/D68)^((D67-1)/(D66*D67))-1)</f>
        <v>0.2053075762552144</v>
      </c>
      <c r="E74" s="22">
        <f t="shared" si="7"/>
        <v>0.41061515251042879</v>
      </c>
      <c r="F74" s="22">
        <f t="shared" si="7"/>
        <v>0.61592272876564313</v>
      </c>
      <c r="G74" s="22">
        <f t="shared" si="7"/>
        <v>0.82123030502085759</v>
      </c>
      <c r="H74" s="22">
        <f t="shared" si="7"/>
        <v>1.0265378812760719</v>
      </c>
      <c r="I74" s="22">
        <f t="shared" si="7"/>
        <v>1.2318454575312863</v>
      </c>
      <c r="J74" s="22">
        <f t="shared" si="7"/>
        <v>1.4371530337865004</v>
      </c>
      <c r="K74" s="22">
        <f t="shared" si="7"/>
        <v>1.6424606100417152</v>
      </c>
      <c r="L74" s="22">
        <f t="shared" si="7"/>
        <v>1.8477681862969295</v>
      </c>
      <c r="M74" s="22">
        <f t="shared" si="7"/>
        <v>2.0530757625521439</v>
      </c>
    </row>
    <row r="75" spans="3:13">
      <c r="C75" t="s">
        <v>719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718</v>
      </c>
      <c r="D76" s="1">
        <f t="shared" ref="D76:M76" si="8">D74*0.7457/D75</f>
        <v>0.19137232451689171</v>
      </c>
      <c r="E76" s="1">
        <f t="shared" si="8"/>
        <v>0.38274464903378341</v>
      </c>
      <c r="F76" s="1">
        <f t="shared" si="8"/>
        <v>0.57411697355067515</v>
      </c>
      <c r="G76" s="1">
        <f t="shared" si="8"/>
        <v>0.76548929806756683</v>
      </c>
      <c r="H76" s="1">
        <f t="shared" si="8"/>
        <v>0.9568616225844585</v>
      </c>
      <c r="I76" s="1">
        <f t="shared" si="8"/>
        <v>1.1482339471013503</v>
      </c>
      <c r="J76" s="1">
        <f t="shared" si="8"/>
        <v>1.3396062716182415</v>
      </c>
      <c r="K76" s="1">
        <f t="shared" si="8"/>
        <v>1.5309785961351337</v>
      </c>
      <c r="L76" s="1">
        <f t="shared" si="8"/>
        <v>1.7223509206520253</v>
      </c>
      <c r="M76" s="1">
        <f t="shared" si="8"/>
        <v>1.913723245168917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3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3">
      <c r="C84" t="s">
        <v>954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3">
      <c r="C85" t="s">
        <v>956</v>
      </c>
      <c r="D85" s="1">
        <f>D62</f>
        <v>0.13774651361620141</v>
      </c>
      <c r="E85" s="1">
        <f t="shared" ref="E85:M85" si="11">E62</f>
        <v>0.27549302723240282</v>
      </c>
      <c r="F85" s="1">
        <f t="shared" si="11"/>
        <v>0.41323954084860426</v>
      </c>
      <c r="G85" s="1">
        <f t="shared" si="11"/>
        <v>0.55098605446480564</v>
      </c>
      <c r="H85" s="1">
        <f t="shared" si="11"/>
        <v>0.68873256808100713</v>
      </c>
      <c r="I85" s="1">
        <f t="shared" si="11"/>
        <v>0.82647908169720852</v>
      </c>
      <c r="J85" s="1">
        <f t="shared" si="11"/>
        <v>0.96422559531340968</v>
      </c>
      <c r="K85" s="1">
        <f t="shared" si="11"/>
        <v>1.1019721089296113</v>
      </c>
      <c r="L85" s="1">
        <f t="shared" si="11"/>
        <v>1.2397186225458128</v>
      </c>
      <c r="M85" s="1">
        <f t="shared" si="11"/>
        <v>1.3774651361620143</v>
      </c>
    </row>
    <row r="86" spans="3:13">
      <c r="C86" t="s">
        <v>955</v>
      </c>
      <c r="D86" s="1">
        <f>D76</f>
        <v>0.19137232451689171</v>
      </c>
      <c r="E86" s="1">
        <f t="shared" ref="E86:M86" si="12">E76</f>
        <v>0.38274464903378341</v>
      </c>
      <c r="F86" s="1">
        <f t="shared" si="12"/>
        <v>0.57411697355067515</v>
      </c>
      <c r="G86" s="1">
        <f t="shared" si="12"/>
        <v>0.76548929806756683</v>
      </c>
      <c r="H86" s="1">
        <f t="shared" si="12"/>
        <v>0.9568616225844585</v>
      </c>
      <c r="I86" s="1">
        <f t="shared" si="12"/>
        <v>1.1482339471013503</v>
      </c>
      <c r="J86" s="1">
        <f t="shared" si="12"/>
        <v>1.3396062716182415</v>
      </c>
      <c r="K86" s="1">
        <f t="shared" si="12"/>
        <v>1.5309785961351337</v>
      </c>
      <c r="L86" s="1">
        <f t="shared" si="12"/>
        <v>1.7223509206520253</v>
      </c>
      <c r="M86" s="1">
        <f t="shared" si="12"/>
        <v>1.913723245168917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396</v>
      </c>
      <c r="AA2" s="34" t="s">
        <v>396</v>
      </c>
      <c r="AB2" s="34" t="s">
        <v>623</v>
      </c>
      <c r="AC2" s="34" t="s">
        <v>624</v>
      </c>
      <c r="AD2" s="8" t="s">
        <v>625</v>
      </c>
      <c r="AE2" s="8" t="s">
        <v>622</v>
      </c>
      <c r="AF2" s="8" t="s">
        <v>684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612</v>
      </c>
      <c r="AB3" t="s">
        <v>447</v>
      </c>
      <c r="AC3" t="s">
        <v>626</v>
      </c>
      <c r="AD3" s="3">
        <v>2</v>
      </c>
      <c r="AE3" s="3" t="s">
        <v>639</v>
      </c>
    </row>
    <row r="4" spans="2:3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613</v>
      </c>
      <c r="AB4" t="s">
        <v>448</v>
      </c>
      <c r="AC4" t="s">
        <v>626</v>
      </c>
      <c r="AD4" s="3">
        <v>4</v>
      </c>
      <c r="AE4" s="3" t="s">
        <v>640</v>
      </c>
    </row>
    <row r="5" spans="2:32" ht="17" thickBot="1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604</v>
      </c>
      <c r="AA5" t="s">
        <v>614</v>
      </c>
      <c r="AB5" t="s">
        <v>451</v>
      </c>
      <c r="AC5" t="s">
        <v>626</v>
      </c>
      <c r="AD5" s="3">
        <v>6</v>
      </c>
      <c r="AE5" s="3" t="s">
        <v>641</v>
      </c>
    </row>
    <row r="6" spans="2:32" ht="17" thickBot="1">
      <c r="AA6" t="s">
        <v>621</v>
      </c>
      <c r="AB6" t="s">
        <v>452</v>
      </c>
      <c r="AC6" t="s">
        <v>626</v>
      </c>
      <c r="AD6" s="3">
        <v>8</v>
      </c>
      <c r="AE6" s="3" t="s">
        <v>642</v>
      </c>
      <c r="AF6" s="34"/>
    </row>
    <row r="7" spans="2:3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596</v>
      </c>
      <c r="O7" s="70"/>
      <c r="P7" s="65" t="s">
        <v>518</v>
      </c>
      <c r="Q7" s="65" t="s">
        <v>603</v>
      </c>
      <c r="AA7" t="s">
        <v>615</v>
      </c>
      <c r="AB7" t="s">
        <v>455</v>
      </c>
      <c r="AC7" t="s">
        <v>626</v>
      </c>
      <c r="AD7" s="3">
        <v>10</v>
      </c>
      <c r="AE7" s="3" t="s">
        <v>643</v>
      </c>
    </row>
    <row r="8" spans="2:32" ht="17" thickBot="1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616</v>
      </c>
      <c r="AB8" t="s">
        <v>456</v>
      </c>
      <c r="AC8" t="s">
        <v>626</v>
      </c>
      <c r="AD8" s="3">
        <v>12</v>
      </c>
      <c r="AE8" s="3" t="s">
        <v>644</v>
      </c>
    </row>
    <row r="9" spans="2:32">
      <c r="AA9" t="s">
        <v>617</v>
      </c>
      <c r="AB9" t="s">
        <v>433</v>
      </c>
      <c r="AC9" t="s">
        <v>626</v>
      </c>
      <c r="AD9" s="3">
        <v>1</v>
      </c>
      <c r="AE9" s="3" t="s">
        <v>645</v>
      </c>
    </row>
    <row r="10" spans="2:32">
      <c r="B10" t="s">
        <v>574</v>
      </c>
      <c r="AA10" t="s">
        <v>618</v>
      </c>
      <c r="AB10" t="s">
        <v>436</v>
      </c>
      <c r="AC10" t="s">
        <v>626</v>
      </c>
      <c r="AD10" s="3">
        <v>3</v>
      </c>
      <c r="AE10" s="3" t="s">
        <v>646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620</v>
      </c>
      <c r="AB11" t="s">
        <v>509</v>
      </c>
      <c r="AC11" t="s">
        <v>627</v>
      </c>
      <c r="AD11" s="3">
        <v>5</v>
      </c>
      <c r="AE11" s="3" t="s">
        <v>647</v>
      </c>
    </row>
    <row r="12" spans="2:3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628</v>
      </c>
      <c r="AD12" s="3">
        <v>14</v>
      </c>
      <c r="AE12" s="3" t="s">
        <v>648</v>
      </c>
    </row>
    <row r="13" spans="2:32" ht="17" thickBot="1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>
      <c r="AA14" t="s">
        <v>685</v>
      </c>
      <c r="AC14" s="3" t="s">
        <v>686</v>
      </c>
      <c r="AE14" s="3" t="s">
        <v>688</v>
      </c>
      <c r="AF14" s="3" t="s">
        <v>690</v>
      </c>
    </row>
    <row r="15" spans="2:32">
      <c r="B15" t="s">
        <v>398</v>
      </c>
      <c r="C15" s="54" t="s">
        <v>568</v>
      </c>
      <c r="D15" s="42"/>
      <c r="E15" s="54" t="s">
        <v>569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687</v>
      </c>
      <c r="AE15" s="3" t="s">
        <v>689</v>
      </c>
    </row>
    <row r="16" spans="2:32" ht="17" thickBot="1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>
      <c r="AA18" s="34" t="s">
        <v>605</v>
      </c>
    </row>
    <row r="19" spans="27:31">
      <c r="AA19" t="s">
        <v>523</v>
      </c>
      <c r="AB19" t="s">
        <v>568</v>
      </c>
      <c r="AC19" t="s">
        <v>629</v>
      </c>
      <c r="AD19" s="3">
        <v>5</v>
      </c>
      <c r="AE19" s="3" t="s">
        <v>649</v>
      </c>
    </row>
    <row r="21" spans="27:31">
      <c r="AA21" t="s">
        <v>567</v>
      </c>
      <c r="AB21" t="s">
        <v>569</v>
      </c>
      <c r="AC21" t="s">
        <v>630</v>
      </c>
      <c r="AD21" s="3">
        <v>7</v>
      </c>
      <c r="AE21" s="3" t="s">
        <v>650</v>
      </c>
    </row>
    <row r="22" spans="27:31">
      <c r="AC22" t="s">
        <v>631</v>
      </c>
      <c r="AD22" s="3">
        <v>9</v>
      </c>
      <c r="AE22" s="3" t="s">
        <v>651</v>
      </c>
    </row>
    <row r="24" spans="27:31">
      <c r="AA24" t="s">
        <v>610</v>
      </c>
      <c r="AB24" t="s">
        <v>528</v>
      </c>
      <c r="AC24" t="s">
        <v>606</v>
      </c>
      <c r="AD24" s="3">
        <v>11</v>
      </c>
      <c r="AE24" s="3" t="s">
        <v>652</v>
      </c>
    </row>
    <row r="25" spans="27:31">
      <c r="AC25" t="s">
        <v>609</v>
      </c>
      <c r="AD25" s="3">
        <v>13</v>
      </c>
      <c r="AE25" s="3" t="s">
        <v>653</v>
      </c>
    </row>
    <row r="26" spans="27:31">
      <c r="AC26" t="s">
        <v>607</v>
      </c>
      <c r="AD26" s="3">
        <v>19</v>
      </c>
      <c r="AE26" s="3" t="s">
        <v>656</v>
      </c>
    </row>
    <row r="27" spans="27:31">
      <c r="AC27" t="s">
        <v>608</v>
      </c>
      <c r="AD27" s="3">
        <v>21</v>
      </c>
      <c r="AE27" s="3" t="s">
        <v>657</v>
      </c>
    </row>
    <row r="29" spans="27:31">
      <c r="AA29" t="s">
        <v>611</v>
      </c>
      <c r="AB29" t="s">
        <v>440</v>
      </c>
      <c r="AC29" t="s">
        <v>606</v>
      </c>
      <c r="AD29" s="3">
        <v>15</v>
      </c>
      <c r="AE29" s="3" t="s">
        <v>654</v>
      </c>
    </row>
    <row r="30" spans="27:31">
      <c r="AC30" t="s">
        <v>609</v>
      </c>
      <c r="AD30" s="3">
        <v>17</v>
      </c>
      <c r="AE30" s="3" t="s">
        <v>655</v>
      </c>
    </row>
    <row r="31" spans="27:31">
      <c r="AC31" t="s">
        <v>607</v>
      </c>
      <c r="AD31" s="3">
        <v>23</v>
      </c>
      <c r="AE31" s="3" t="s">
        <v>658</v>
      </c>
    </row>
    <row r="32" spans="27:31">
      <c r="AC32" t="s">
        <v>608</v>
      </c>
      <c r="AD32" s="3">
        <v>25</v>
      </c>
      <c r="AE32" s="3" t="s">
        <v>659</v>
      </c>
    </row>
    <row r="34" spans="27:32">
      <c r="AA34" t="s">
        <v>619</v>
      </c>
      <c r="AB34" t="s">
        <v>502</v>
      </c>
      <c r="AC34" t="s">
        <v>632</v>
      </c>
      <c r="AD34" s="3">
        <v>6</v>
      </c>
      <c r="AE34" s="3" t="s">
        <v>660</v>
      </c>
    </row>
    <row r="36" spans="27:32">
      <c r="AA36" t="s">
        <v>524</v>
      </c>
      <c r="AB36" t="s">
        <v>426</v>
      </c>
      <c r="AC36" t="s">
        <v>635</v>
      </c>
      <c r="AD36" s="3">
        <v>8</v>
      </c>
      <c r="AE36" s="3" t="s">
        <v>661</v>
      </c>
    </row>
    <row r="37" spans="27:32">
      <c r="AC37" t="s">
        <v>636</v>
      </c>
      <c r="AD37" s="3">
        <v>10</v>
      </c>
      <c r="AE37" s="3" t="s">
        <v>662</v>
      </c>
    </row>
    <row r="38" spans="27:32">
      <c r="AC38" t="s">
        <v>637</v>
      </c>
      <c r="AD38" s="3">
        <v>12</v>
      </c>
      <c r="AE38" s="3" t="s">
        <v>663</v>
      </c>
    </row>
    <row r="39" spans="27:32">
      <c r="AC39" t="s">
        <v>633</v>
      </c>
      <c r="AD39" s="3">
        <v>14</v>
      </c>
      <c r="AE39" s="3" t="s">
        <v>664</v>
      </c>
    </row>
    <row r="40" spans="27:32">
      <c r="AC40" t="s">
        <v>638</v>
      </c>
      <c r="AD40" s="3">
        <v>16</v>
      </c>
      <c r="AE40" s="3" t="s">
        <v>665</v>
      </c>
    </row>
    <row r="42" spans="27:32">
      <c r="AA42" t="s">
        <v>634</v>
      </c>
      <c r="AC42" t="s">
        <v>636</v>
      </c>
      <c r="AD42" s="3">
        <v>18</v>
      </c>
      <c r="AE42" s="3" t="s">
        <v>669</v>
      </c>
    </row>
    <row r="43" spans="27:32">
      <c r="AA43" t="s">
        <v>634</v>
      </c>
      <c r="AC43" t="s">
        <v>635</v>
      </c>
      <c r="AD43" s="3">
        <v>20</v>
      </c>
      <c r="AE43" s="3" t="s">
        <v>670</v>
      </c>
    </row>
    <row r="44" spans="27:32">
      <c r="AA44" t="s">
        <v>525</v>
      </c>
      <c r="AB44" t="s">
        <v>428</v>
      </c>
      <c r="AC44" t="s">
        <v>633</v>
      </c>
      <c r="AD44" s="3">
        <v>22</v>
      </c>
      <c r="AE44" s="3" t="s">
        <v>666</v>
      </c>
    </row>
    <row r="45" spans="27:32">
      <c r="AA45" t="s">
        <v>527</v>
      </c>
      <c r="AB45" t="s">
        <v>430</v>
      </c>
      <c r="AC45" t="s">
        <v>633</v>
      </c>
      <c r="AD45" s="3">
        <v>24</v>
      </c>
      <c r="AE45" s="3" t="s">
        <v>667</v>
      </c>
    </row>
    <row r="46" spans="27:32">
      <c r="AA46" t="s">
        <v>526</v>
      </c>
      <c r="AB46" t="s">
        <v>431</v>
      </c>
      <c r="AC46" t="s">
        <v>633</v>
      </c>
      <c r="AD46" s="3">
        <v>26</v>
      </c>
      <c r="AE46" s="3" t="s">
        <v>668</v>
      </c>
    </row>
    <row r="48" spans="27:32">
      <c r="AA48" t="s">
        <v>685</v>
      </c>
      <c r="AC48" s="3" t="s">
        <v>686</v>
      </c>
      <c r="AE48" s="3" t="s">
        <v>688</v>
      </c>
      <c r="AF48" s="3" t="s">
        <v>690</v>
      </c>
    </row>
    <row r="49" spans="29:31">
      <c r="AC49" s="3" t="s">
        <v>687</v>
      </c>
      <c r="AE49" s="3" t="s">
        <v>689</v>
      </c>
    </row>
  </sheetData>
  <pageMargins left="0.7" right="0.7" top="0.75" bottom="0.75" header="0.3" footer="0.3"/>
  <pageSetup scale="57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575</v>
      </c>
    </row>
    <row r="5" spans="2:11">
      <c r="D5" s="3" t="s">
        <v>579</v>
      </c>
      <c r="E5" s="3" t="s">
        <v>580</v>
      </c>
      <c r="F5" t="s">
        <v>586</v>
      </c>
      <c r="G5" s="3" t="s">
        <v>624</v>
      </c>
      <c r="H5" s="3" t="s">
        <v>671</v>
      </c>
      <c r="I5" s="3" t="s">
        <v>684</v>
      </c>
    </row>
    <row r="6" spans="2:11">
      <c r="B6" s="67" t="s">
        <v>414</v>
      </c>
      <c r="C6" s="40" t="s">
        <v>443</v>
      </c>
      <c r="D6" s="3" t="s">
        <v>581</v>
      </c>
      <c r="E6" s="3">
        <v>4</v>
      </c>
      <c r="F6" s="3">
        <v>4</v>
      </c>
      <c r="I6" t="s">
        <v>693</v>
      </c>
    </row>
    <row r="7" spans="2:11">
      <c r="G7" s="3" t="s">
        <v>678</v>
      </c>
      <c r="H7" s="3" t="s">
        <v>677</v>
      </c>
    </row>
    <row r="8" spans="2:11">
      <c r="B8" s="67" t="s">
        <v>467</v>
      </c>
      <c r="C8" s="40" t="s">
        <v>487</v>
      </c>
      <c r="D8" s="3" t="s">
        <v>581</v>
      </c>
      <c r="E8" s="3">
        <v>4</v>
      </c>
      <c r="F8" s="3">
        <v>4</v>
      </c>
      <c r="I8" t="s">
        <v>692</v>
      </c>
    </row>
    <row r="9" spans="2:11">
      <c r="G9" s="3" t="s">
        <v>691</v>
      </c>
      <c r="H9" s="3">
        <v>21</v>
      </c>
    </row>
    <row r="10" spans="2:11">
      <c r="G10" s="3" t="s">
        <v>672</v>
      </c>
      <c r="H10" s="3">
        <v>20</v>
      </c>
    </row>
    <row r="11" spans="2:11">
      <c r="B11" s="67" t="s">
        <v>415</v>
      </c>
      <c r="C11" s="40" t="s">
        <v>444</v>
      </c>
      <c r="D11" s="3" t="s">
        <v>582</v>
      </c>
      <c r="E11" s="3">
        <v>3</v>
      </c>
      <c r="F11" s="3">
        <v>3</v>
      </c>
    </row>
    <row r="12" spans="2:11">
      <c r="G12" s="3" t="s">
        <v>635</v>
      </c>
      <c r="H12" s="3" t="s">
        <v>661</v>
      </c>
      <c r="K12" s="3"/>
    </row>
    <row r="13" spans="2:11">
      <c r="G13" s="3" t="s">
        <v>636</v>
      </c>
      <c r="H13" s="3" t="s">
        <v>662</v>
      </c>
      <c r="K13" s="3"/>
    </row>
    <row r="14" spans="2:11">
      <c r="G14" s="3" t="s">
        <v>637</v>
      </c>
      <c r="H14" s="3" t="s">
        <v>663</v>
      </c>
      <c r="K14" s="3"/>
    </row>
    <row r="15" spans="2:11">
      <c r="G15" s="3" t="s">
        <v>633</v>
      </c>
      <c r="H15" s="3" t="s">
        <v>664</v>
      </c>
      <c r="K15" s="3"/>
    </row>
    <row r="16" spans="2:11">
      <c r="G16" s="3" t="s">
        <v>638</v>
      </c>
      <c r="H16" s="3" t="s">
        <v>665</v>
      </c>
      <c r="K16" s="3"/>
    </row>
    <row r="17" spans="2:8">
      <c r="B17" s="67" t="s">
        <v>463</v>
      </c>
      <c r="C17" s="40" t="s">
        <v>462</v>
      </c>
      <c r="D17" s="3" t="s">
        <v>583</v>
      </c>
      <c r="E17" s="3">
        <v>3</v>
      </c>
      <c r="F17" s="3">
        <v>3</v>
      </c>
      <c r="H17" s="3" t="s">
        <v>673</v>
      </c>
    </row>
    <row r="18" spans="2:8">
      <c r="B18" s="67" t="s">
        <v>461</v>
      </c>
      <c r="C18" s="40" t="s">
        <v>464</v>
      </c>
      <c r="D18" s="3" t="s">
        <v>583</v>
      </c>
      <c r="E18" s="3">
        <v>3</v>
      </c>
      <c r="F18" s="3">
        <v>3</v>
      </c>
      <c r="H18" s="3" t="s">
        <v>674</v>
      </c>
    </row>
    <row r="19" spans="2:8">
      <c r="B19" s="67" t="s">
        <v>465</v>
      </c>
      <c r="C19" s="40" t="s">
        <v>466</v>
      </c>
      <c r="D19" s="3" t="s">
        <v>583</v>
      </c>
      <c r="E19" s="3">
        <v>3</v>
      </c>
      <c r="F19" s="3">
        <v>3</v>
      </c>
      <c r="H19" s="3" t="s">
        <v>675</v>
      </c>
    </row>
    <row r="20" spans="2:8">
      <c r="B20" s="67" t="s">
        <v>591</v>
      </c>
      <c r="C20" s="40" t="s">
        <v>592</v>
      </c>
      <c r="D20" s="3" t="s">
        <v>588</v>
      </c>
      <c r="E20" s="3">
        <v>3</v>
      </c>
      <c r="F20" s="3">
        <v>3</v>
      </c>
      <c r="H20" s="3" t="s">
        <v>676</v>
      </c>
    </row>
    <row r="21" spans="2:8">
      <c r="B21" s="10" t="s">
        <v>577</v>
      </c>
      <c r="D21" s="3" t="s">
        <v>589</v>
      </c>
      <c r="E21" s="3">
        <v>2</v>
      </c>
      <c r="F21" s="3">
        <v>3</v>
      </c>
      <c r="H21" s="3" t="s">
        <v>654</v>
      </c>
    </row>
    <row r="22" spans="2:8">
      <c r="B22" s="10" t="s">
        <v>578</v>
      </c>
      <c r="D22" s="3" t="s">
        <v>590</v>
      </c>
      <c r="E22" s="3">
        <v>4</v>
      </c>
      <c r="F22" s="3">
        <v>4</v>
      </c>
      <c r="G22" s="3" t="s">
        <v>679</v>
      </c>
      <c r="H22" s="3" t="s">
        <v>653</v>
      </c>
    </row>
    <row r="23" spans="2:8">
      <c r="G23" s="3" t="s">
        <v>680</v>
      </c>
      <c r="H23" s="3" t="s">
        <v>652</v>
      </c>
    </row>
    <row r="24" spans="2:8">
      <c r="G24" s="3" t="s">
        <v>681</v>
      </c>
      <c r="H24" s="3" t="s">
        <v>651</v>
      </c>
    </row>
    <row r="25" spans="2:8">
      <c r="B25" s="10" t="s">
        <v>584</v>
      </c>
      <c r="D25" s="3" t="s">
        <v>585</v>
      </c>
      <c r="E25" s="3">
        <v>5</v>
      </c>
      <c r="F25" s="3">
        <v>5</v>
      </c>
    </row>
    <row r="26" spans="2:8">
      <c r="G26" s="3" t="s">
        <v>682</v>
      </c>
      <c r="H26" s="3" t="s">
        <v>659</v>
      </c>
    </row>
    <row r="27" spans="2:8">
      <c r="G27" s="3" t="s">
        <v>683</v>
      </c>
      <c r="H27" s="3" t="s">
        <v>658</v>
      </c>
    </row>
    <row r="28" spans="2:8">
      <c r="G28" s="3" t="s">
        <v>661</v>
      </c>
      <c r="H28" s="3" t="s">
        <v>657</v>
      </c>
    </row>
    <row r="29" spans="2:8">
      <c r="B29" s="10" t="s">
        <v>576</v>
      </c>
      <c r="D29" s="3" t="s">
        <v>529</v>
      </c>
      <c r="E29" s="3">
        <v>2</v>
      </c>
      <c r="F29" s="3">
        <v>3</v>
      </c>
    </row>
    <row r="30" spans="2:8">
      <c r="B30" s="10" t="s">
        <v>587</v>
      </c>
      <c r="D30" s="3" t="s">
        <v>529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tabSelected="1" workbookViewId="0">
      <selection activeCell="H28" sqref="H28"/>
    </sheetView>
  </sheetViews>
  <sheetFormatPr baseColWidth="10" defaultRowHeight="16"/>
  <sheetData>
    <row r="6" spans="3:7">
      <c r="C6" t="s">
        <v>1009</v>
      </c>
      <c r="G6" s="10" t="s">
        <v>1010</v>
      </c>
    </row>
    <row r="8" spans="3:7">
      <c r="C8" t="s">
        <v>961</v>
      </c>
      <c r="D8">
        <v>0.63</v>
      </c>
    </row>
    <row r="10" spans="3:7">
      <c r="C10" t="s">
        <v>962</v>
      </c>
      <c r="D10">
        <v>1.5</v>
      </c>
      <c r="E10" t="s">
        <v>377</v>
      </c>
    </row>
    <row r="11" spans="3:7">
      <c r="C11" t="s">
        <v>963</v>
      </c>
      <c r="D11">
        <v>7.8</v>
      </c>
      <c r="E11" t="s">
        <v>377</v>
      </c>
    </row>
    <row r="12" spans="3:7">
      <c r="C12" t="s">
        <v>957</v>
      </c>
      <c r="D12">
        <v>18.7</v>
      </c>
      <c r="E12" t="s">
        <v>377</v>
      </c>
    </row>
    <row r="14" spans="3:7">
      <c r="C14" t="s">
        <v>383</v>
      </c>
      <c r="D14" s="1">
        <f>(PI()*(D11^2)) - (PI()*(D10^2))</f>
        <v>184.06591357382595</v>
      </c>
      <c r="E14" t="s">
        <v>378</v>
      </c>
    </row>
    <row r="15" spans="3:7">
      <c r="C15" t="s">
        <v>357</v>
      </c>
      <c r="D15" s="2">
        <f>D14*D12</f>
        <v>3442.0325838305453</v>
      </c>
      <c r="E15" t="s">
        <v>960</v>
      </c>
    </row>
    <row r="16" spans="3:7">
      <c r="C16" t="s">
        <v>958</v>
      </c>
      <c r="D16" s="2">
        <f>D8*D15</f>
        <v>2168.4805278132435</v>
      </c>
      <c r="E16" t="s">
        <v>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C4:H34"/>
  <sheetViews>
    <sheetView workbookViewId="0">
      <selection activeCell="C16" sqref="C16"/>
    </sheetView>
  </sheetViews>
  <sheetFormatPr baseColWidth="10" defaultRowHeight="16"/>
  <cols>
    <col min="5" max="5" width="13.33203125" customWidth="1"/>
  </cols>
  <sheetData>
    <row r="4" spans="3:4">
      <c r="C4" t="s">
        <v>733</v>
      </c>
    </row>
    <row r="5" spans="3:4">
      <c r="C5">
        <v>32</v>
      </c>
      <c r="D5" t="s">
        <v>724</v>
      </c>
    </row>
    <row r="6" spans="3:4">
      <c r="C6">
        <v>22.4</v>
      </c>
      <c r="D6" t="s">
        <v>725</v>
      </c>
    </row>
    <row r="7" spans="3:4">
      <c r="C7" s="1">
        <f>C5/C6</f>
        <v>1.4285714285714286</v>
      </c>
      <c r="D7" t="s">
        <v>721</v>
      </c>
    </row>
    <row r="9" spans="3:4">
      <c r="C9">
        <v>1.4291</v>
      </c>
    </row>
    <row r="11" spans="3:4">
      <c r="C11">
        <v>100</v>
      </c>
      <c r="D11" t="s">
        <v>236</v>
      </c>
    </row>
    <row r="12" spans="3:4">
      <c r="C12" s="2">
        <f>C11*C9*1440/1000</f>
        <v>205.79040000000001</v>
      </c>
      <c r="D12" t="s">
        <v>722</v>
      </c>
    </row>
    <row r="14" spans="3:4">
      <c r="C14" s="29">
        <f>1000/C12*C11</f>
        <v>485.93131652399722</v>
      </c>
      <c r="D14" t="s">
        <v>723</v>
      </c>
    </row>
    <row r="19" spans="3:8">
      <c r="C19" t="s">
        <v>732</v>
      </c>
    </row>
    <row r="21" spans="3:8">
      <c r="C21">
        <v>28</v>
      </c>
      <c r="D21" t="s">
        <v>724</v>
      </c>
    </row>
    <row r="22" spans="3:8">
      <c r="C22">
        <v>22.4</v>
      </c>
      <c r="D22" t="s">
        <v>725</v>
      </c>
    </row>
    <row r="23" spans="3:8">
      <c r="C23" s="1">
        <f>C21/C22</f>
        <v>1.25</v>
      </c>
      <c r="D23" t="s">
        <v>721</v>
      </c>
    </row>
    <row r="25" spans="3:8">
      <c r="D25" s="8" t="s">
        <v>824</v>
      </c>
      <c r="E25" s="8" t="s">
        <v>821</v>
      </c>
      <c r="F25" s="8" t="s">
        <v>822</v>
      </c>
      <c r="G25" s="8" t="s">
        <v>823</v>
      </c>
    </row>
    <row r="26" spans="3:8">
      <c r="C26" t="s">
        <v>819</v>
      </c>
      <c r="D26">
        <v>0</v>
      </c>
      <c r="E26">
        <v>0.65</v>
      </c>
      <c r="F26">
        <v>1.1000000000000001</v>
      </c>
      <c r="G26">
        <v>0.1</v>
      </c>
      <c r="H26" t="s">
        <v>816</v>
      </c>
    </row>
    <row r="27" spans="3:8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820</v>
      </c>
    </row>
    <row r="28" spans="3:8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817</v>
      </c>
    </row>
    <row r="29" spans="3:8">
      <c r="C29" t="s">
        <v>818</v>
      </c>
      <c r="D29">
        <v>1.4</v>
      </c>
      <c r="E29">
        <v>1.2</v>
      </c>
      <c r="F29">
        <v>1.4</v>
      </c>
      <c r="G29">
        <v>0.8</v>
      </c>
      <c r="H29" t="s">
        <v>816</v>
      </c>
    </row>
    <row r="30" spans="3:8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820</v>
      </c>
    </row>
    <row r="31" spans="3:8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817</v>
      </c>
    </row>
    <row r="34" spans="4:8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workbookViewId="0">
      <selection activeCell="F35" sqref="F35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780</v>
      </c>
    </row>
    <row r="5" spans="2:8">
      <c r="B5" t="s">
        <v>732</v>
      </c>
      <c r="C5">
        <v>0.78</v>
      </c>
      <c r="F5" t="s">
        <v>746</v>
      </c>
      <c r="G5">
        <v>0.79</v>
      </c>
      <c r="H5" t="s">
        <v>781</v>
      </c>
    </row>
    <row r="6" spans="2:8">
      <c r="B6" t="s">
        <v>733</v>
      </c>
      <c r="C6">
        <v>0.20899999999999999</v>
      </c>
      <c r="D6" s="75">
        <f>C6*D$10</f>
        <v>0.95000000000000007</v>
      </c>
      <c r="F6" t="s">
        <v>747</v>
      </c>
      <c r="G6">
        <v>0.21</v>
      </c>
      <c r="H6" t="s">
        <v>763</v>
      </c>
    </row>
    <row r="7" spans="2:8">
      <c r="B7" t="s">
        <v>734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735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764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765</v>
      </c>
    </row>
    <row r="10" spans="2:8">
      <c r="D10" s="1">
        <f>C9/D9</f>
        <v>4.5454545454545459</v>
      </c>
      <c r="E10" t="s">
        <v>750</v>
      </c>
    </row>
    <row r="13" spans="2:8">
      <c r="B13" t="s">
        <v>755</v>
      </c>
      <c r="C13">
        <v>22</v>
      </c>
      <c r="D13" t="s">
        <v>738</v>
      </c>
      <c r="E13" t="s">
        <v>756</v>
      </c>
    </row>
    <row r="14" spans="2:8">
      <c r="B14" t="s">
        <v>739</v>
      </c>
      <c r="C14">
        <v>0.72</v>
      </c>
      <c r="E14" t="s">
        <v>757</v>
      </c>
    </row>
    <row r="15" spans="2:8">
      <c r="B15" t="s">
        <v>740</v>
      </c>
      <c r="C15">
        <f>C13*C14</f>
        <v>15.84</v>
      </c>
      <c r="D15" t="s">
        <v>738</v>
      </c>
      <c r="E15" t="s">
        <v>751</v>
      </c>
    </row>
    <row r="17" spans="2:9">
      <c r="B17" t="s">
        <v>741</v>
      </c>
      <c r="C17">
        <v>1.8</v>
      </c>
      <c r="D17" t="s">
        <v>5</v>
      </c>
    </row>
    <row r="18" spans="2:9">
      <c r="B18" t="s">
        <v>742</v>
      </c>
      <c r="C18">
        <f>C15*C17</f>
        <v>28.512</v>
      </c>
      <c r="D18" t="s">
        <v>355</v>
      </c>
      <c r="E18" t="s">
        <v>752</v>
      </c>
    </row>
    <row r="20" spans="2:9">
      <c r="B20" t="s">
        <v>744</v>
      </c>
      <c r="C20">
        <v>20</v>
      </c>
      <c r="D20" t="s">
        <v>17</v>
      </c>
    </row>
    <row r="21" spans="2:9">
      <c r="B21" t="s">
        <v>745</v>
      </c>
      <c r="C21">
        <v>0.6</v>
      </c>
      <c r="E21" t="s">
        <v>753</v>
      </c>
    </row>
    <row r="22" spans="2:9">
      <c r="B22" t="s">
        <v>743</v>
      </c>
      <c r="C22" s="2">
        <f>C20/C21/(1-G5)</f>
        <v>158.73015873015876</v>
      </c>
      <c r="D22" t="s">
        <v>17</v>
      </c>
      <c r="E22" t="s">
        <v>761</v>
      </c>
    </row>
    <row r="23" spans="2:9">
      <c r="B23" t="s">
        <v>758</v>
      </c>
      <c r="C23" s="2">
        <f>C22*(C28/60)</f>
        <v>36.09113924050633</v>
      </c>
      <c r="D23" t="s">
        <v>759</v>
      </c>
      <c r="E23" t="s">
        <v>760</v>
      </c>
    </row>
    <row r="24" spans="2:9">
      <c r="B24" t="s">
        <v>773</v>
      </c>
      <c r="C24" s="2">
        <f>C20*(C28/60)</f>
        <v>4.5474835443037964</v>
      </c>
      <c r="D24" t="s">
        <v>355</v>
      </c>
      <c r="E24" t="s">
        <v>779</v>
      </c>
    </row>
    <row r="25" spans="2:9">
      <c r="B25" t="s">
        <v>774</v>
      </c>
      <c r="C25" s="2">
        <f>C24/C21-C24</f>
        <v>3.0316556962025309</v>
      </c>
      <c r="D25" t="s">
        <v>355</v>
      </c>
      <c r="E25" t="s">
        <v>778</v>
      </c>
      <c r="I25" t="s">
        <v>782</v>
      </c>
    </row>
    <row r="26" spans="2:9">
      <c r="C26" s="2"/>
    </row>
    <row r="27" spans="2:9">
      <c r="B27" t="s">
        <v>748</v>
      </c>
      <c r="C27" s="2">
        <f>C22*G5</f>
        <v>125.39682539682543</v>
      </c>
      <c r="D27" t="s">
        <v>17</v>
      </c>
      <c r="E27" t="s">
        <v>767</v>
      </c>
    </row>
    <row r="28" spans="2:9">
      <c r="B28" t="s">
        <v>749</v>
      </c>
      <c r="C28" s="2">
        <f>C18/C27*60</f>
        <v>13.642450632911389</v>
      </c>
      <c r="D28" t="s">
        <v>362</v>
      </c>
      <c r="E28" t="s">
        <v>762</v>
      </c>
    </row>
    <row r="31" spans="2:9">
      <c r="B31" t="s">
        <v>754</v>
      </c>
      <c r="C31" s="2">
        <f>C18/(C28/60)</f>
        <v>125.39682539682543</v>
      </c>
      <c r="D31" t="s">
        <v>17</v>
      </c>
      <c r="E31" t="s">
        <v>766</v>
      </c>
    </row>
    <row r="33" spans="2:4">
      <c r="B33" t="s">
        <v>775</v>
      </c>
      <c r="C33" s="2">
        <f>C23-C18</f>
        <v>7.5791392405063291</v>
      </c>
      <c r="D33" t="s">
        <v>17</v>
      </c>
    </row>
    <row r="34" spans="2:4">
      <c r="B34" t="s">
        <v>776</v>
      </c>
      <c r="C34" s="2">
        <f>C33*C21</f>
        <v>4.5474835443037973</v>
      </c>
      <c r="D34" t="s">
        <v>17</v>
      </c>
    </row>
    <row r="35" spans="2:4">
      <c r="B35" t="s">
        <v>777</v>
      </c>
      <c r="C35" s="2">
        <f>C33-C34</f>
        <v>3.0316556962025318</v>
      </c>
      <c r="D35" t="s">
        <v>17</v>
      </c>
    </row>
    <row r="37" spans="2:4">
      <c r="B37" t="s">
        <v>825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workbookViewId="0">
      <selection activeCell="P20" sqref="P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783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0.5</v>
      </c>
      <c r="E17">
        <v>0.5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20</v>
      </c>
      <c r="E20">
        <v>10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775</v>
      </c>
    </row>
    <row r="34" spans="3:6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/>
  <cols>
    <col min="2" max="2" width="12.33203125" customWidth="1"/>
    <col min="11" max="11" width="14.5" customWidth="1"/>
  </cols>
  <sheetData>
    <row r="3" spans="2:11">
      <c r="B3" t="s">
        <v>783</v>
      </c>
    </row>
    <row r="4" spans="2:11">
      <c r="I4" t="s">
        <v>780</v>
      </c>
    </row>
    <row r="5" spans="2:11">
      <c r="B5" t="s">
        <v>732</v>
      </c>
      <c r="C5">
        <v>0.78</v>
      </c>
      <c r="D5">
        <v>0.78</v>
      </c>
      <c r="E5">
        <v>0.78</v>
      </c>
      <c r="F5">
        <v>0.78</v>
      </c>
      <c r="I5" t="s">
        <v>746</v>
      </c>
      <c r="J5">
        <v>0.79</v>
      </c>
      <c r="K5" t="s">
        <v>781</v>
      </c>
    </row>
    <row r="6" spans="2:11">
      <c r="B6" t="s">
        <v>733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747</v>
      </c>
      <c r="J6">
        <v>0.21</v>
      </c>
      <c r="K6" t="s">
        <v>763</v>
      </c>
    </row>
    <row r="7" spans="2:11">
      <c r="B7" t="s">
        <v>734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>
      <c r="B8" t="s">
        <v>735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764</v>
      </c>
    </row>
    <row r="9" spans="2:11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765</v>
      </c>
    </row>
    <row r="10" spans="2:11">
      <c r="G10" s="1">
        <f>C9/G9</f>
        <v>4.5454545454545459</v>
      </c>
      <c r="H10" t="s">
        <v>750</v>
      </c>
    </row>
    <row r="13" spans="2:11">
      <c r="B13" t="s">
        <v>755</v>
      </c>
      <c r="C13">
        <v>22</v>
      </c>
      <c r="D13">
        <v>22</v>
      </c>
      <c r="E13">
        <v>22</v>
      </c>
      <c r="F13">
        <v>22</v>
      </c>
      <c r="G13" t="s">
        <v>738</v>
      </c>
      <c r="H13" t="s">
        <v>756</v>
      </c>
    </row>
    <row r="14" spans="2:11">
      <c r="B14" t="s">
        <v>739</v>
      </c>
      <c r="C14">
        <v>0.7</v>
      </c>
      <c r="D14">
        <v>0.7</v>
      </c>
      <c r="E14">
        <v>0.7</v>
      </c>
      <c r="F14">
        <v>0.7</v>
      </c>
      <c r="H14" t="s">
        <v>757</v>
      </c>
    </row>
    <row r="15" spans="2:11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738</v>
      </c>
      <c r="H15" t="s">
        <v>751</v>
      </c>
    </row>
    <row r="17" spans="2:12">
      <c r="B17" t="s">
        <v>741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>
      <c r="B18" t="s">
        <v>742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752</v>
      </c>
    </row>
    <row r="20" spans="2:12">
      <c r="B20" t="s">
        <v>744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>
      <c r="B21" t="s">
        <v>745</v>
      </c>
      <c r="C21">
        <v>1</v>
      </c>
      <c r="D21">
        <v>1</v>
      </c>
      <c r="E21">
        <v>1</v>
      </c>
      <c r="F21">
        <v>1</v>
      </c>
      <c r="H21" t="s">
        <v>753</v>
      </c>
    </row>
    <row r="22" spans="2:12">
      <c r="B22" t="s">
        <v>743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761</v>
      </c>
    </row>
    <row r="23" spans="2:12">
      <c r="B23" t="s">
        <v>758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759</v>
      </c>
      <c r="H23" t="s">
        <v>760</v>
      </c>
    </row>
    <row r="24" spans="2:12">
      <c r="B24" t="s">
        <v>773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779</v>
      </c>
    </row>
    <row r="25" spans="2:1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778</v>
      </c>
      <c r="L25" t="s">
        <v>782</v>
      </c>
    </row>
    <row r="26" spans="2:12">
      <c r="C26" s="2"/>
      <c r="D26" s="2"/>
      <c r="E26" s="2"/>
      <c r="F26" s="2"/>
    </row>
    <row r="27" spans="2:12">
      <c r="B27" t="s">
        <v>748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767</v>
      </c>
    </row>
    <row r="28" spans="2:12">
      <c r="B28" t="s">
        <v>749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762</v>
      </c>
    </row>
    <row r="31" spans="2:12">
      <c r="B31" t="s">
        <v>754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766</v>
      </c>
    </row>
    <row r="33" spans="3:7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775</v>
      </c>
    </row>
    <row r="34" spans="3:7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776</v>
      </c>
    </row>
    <row r="35" spans="3:7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topLeftCell="A2" workbookViewId="0">
      <selection activeCell="D20" sqref="D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783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775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C5:G23"/>
  <sheetViews>
    <sheetView workbookViewId="0">
      <selection activeCell="I20" sqref="I20"/>
    </sheetView>
  </sheetViews>
  <sheetFormatPr baseColWidth="10" defaultRowHeight="16"/>
  <cols>
    <col min="3" max="3" width="19.1640625" customWidth="1"/>
    <col min="4" max="4" width="12.5" style="3" customWidth="1"/>
    <col min="5" max="5" width="12.6640625" style="3" customWidth="1"/>
    <col min="6" max="6" width="12.33203125" style="3" customWidth="1"/>
    <col min="7" max="7" width="13.83203125" style="3" customWidth="1"/>
  </cols>
  <sheetData>
    <row r="5" spans="3:7">
      <c r="D5" s="3" t="s">
        <v>795</v>
      </c>
      <c r="E5" s="3" t="s">
        <v>793</v>
      </c>
      <c r="F5" s="3" t="s">
        <v>796</v>
      </c>
      <c r="G5" s="3" t="s">
        <v>806</v>
      </c>
    </row>
    <row r="6" spans="3:7">
      <c r="C6" t="s">
        <v>811</v>
      </c>
      <c r="D6" s="77" t="s">
        <v>813</v>
      </c>
      <c r="E6" s="77" t="s">
        <v>814</v>
      </c>
      <c r="F6" s="77" t="s">
        <v>815</v>
      </c>
      <c r="G6" s="77" t="s">
        <v>812</v>
      </c>
    </row>
    <row r="7" spans="3:7">
      <c r="C7" t="s">
        <v>794</v>
      </c>
      <c r="D7" s="3">
        <v>10</v>
      </c>
      <c r="E7" s="3" t="s">
        <v>808</v>
      </c>
      <c r="F7" s="3" t="s">
        <v>807</v>
      </c>
      <c r="G7" s="3">
        <v>100</v>
      </c>
    </row>
    <row r="8" spans="3:7">
      <c r="C8" t="s">
        <v>792</v>
      </c>
      <c r="D8" s="3" t="s">
        <v>797</v>
      </c>
      <c r="E8" s="3" t="s">
        <v>798</v>
      </c>
      <c r="F8" s="3" t="s">
        <v>804</v>
      </c>
      <c r="G8" s="3" t="s">
        <v>805</v>
      </c>
    </row>
    <row r="9" spans="3:7">
      <c r="C9" t="s">
        <v>791</v>
      </c>
      <c r="D9" s="3" t="s">
        <v>801</v>
      </c>
      <c r="E9" s="3" t="s">
        <v>800</v>
      </c>
      <c r="F9" s="3" t="s">
        <v>803</v>
      </c>
      <c r="G9" s="3" t="s">
        <v>799</v>
      </c>
    </row>
    <row r="11" spans="3:7">
      <c r="C11" t="s">
        <v>789</v>
      </c>
      <c r="D11" s="3">
        <v>50</v>
      </c>
      <c r="E11" s="3">
        <v>130</v>
      </c>
      <c r="F11" s="3">
        <v>260</v>
      </c>
      <c r="G11" s="3">
        <v>800</v>
      </c>
    </row>
    <row r="12" spans="3:7">
      <c r="C12" t="s">
        <v>790</v>
      </c>
      <c r="D12" s="3">
        <v>50</v>
      </c>
      <c r="E12" s="3">
        <v>110</v>
      </c>
      <c r="F12" s="3">
        <v>130</v>
      </c>
      <c r="G12" s="3">
        <v>260</v>
      </c>
    </row>
    <row r="13" spans="3:7">
      <c r="C13" t="s">
        <v>791</v>
      </c>
      <c r="D13" s="3">
        <v>50</v>
      </c>
      <c r="E13" s="3">
        <v>160</v>
      </c>
      <c r="F13" s="3">
        <v>220</v>
      </c>
      <c r="G13" s="3">
        <v>500</v>
      </c>
    </row>
    <row r="14" spans="3:7">
      <c r="C14" t="s">
        <v>792</v>
      </c>
      <c r="D14" s="3">
        <v>30</v>
      </c>
      <c r="E14" s="3">
        <v>90</v>
      </c>
      <c r="F14" s="3">
        <v>150</v>
      </c>
      <c r="G14" s="3">
        <v>450</v>
      </c>
    </row>
    <row r="16" spans="3:7">
      <c r="D16" s="3">
        <f>SUM(D11:D15)</f>
        <v>180</v>
      </c>
      <c r="E16" s="3">
        <f t="shared" ref="E16:G16" si="0">SUM(E11:E15)</f>
        <v>490</v>
      </c>
      <c r="F16" s="3">
        <f t="shared" si="0"/>
        <v>760</v>
      </c>
      <c r="G16" s="3">
        <f t="shared" si="0"/>
        <v>2010</v>
      </c>
    </row>
    <row r="17" spans="3:7">
      <c r="C17" t="s">
        <v>802</v>
      </c>
      <c r="D17" s="3">
        <v>200</v>
      </c>
      <c r="E17" s="3">
        <v>500</v>
      </c>
      <c r="F17" s="3">
        <v>800</v>
      </c>
      <c r="G17" s="3">
        <v>1000</v>
      </c>
    </row>
    <row r="18" spans="3:7">
      <c r="D18" s="3">
        <v>2</v>
      </c>
      <c r="E18" s="3">
        <v>2</v>
      </c>
      <c r="F18" s="3">
        <v>2</v>
      </c>
      <c r="G18" s="3">
        <v>2</v>
      </c>
    </row>
    <row r="19" spans="3:7">
      <c r="D19" s="3">
        <f>(D16+D17) * D18</f>
        <v>760</v>
      </c>
      <c r="E19" s="3">
        <f t="shared" ref="E19:G19" si="1">(E16+E17) * E18</f>
        <v>1980</v>
      </c>
      <c r="F19" s="3">
        <f t="shared" si="1"/>
        <v>3120</v>
      </c>
      <c r="G19" s="3">
        <f t="shared" si="1"/>
        <v>6020</v>
      </c>
    </row>
    <row r="22" spans="3:7">
      <c r="C22" t="s">
        <v>809</v>
      </c>
      <c r="D22" s="3">
        <v>40</v>
      </c>
      <c r="E22" s="3">
        <v>100</v>
      </c>
      <c r="F22" s="3">
        <v>200</v>
      </c>
      <c r="G22" s="3">
        <v>350</v>
      </c>
    </row>
    <row r="23" spans="3:7">
      <c r="C23" t="s">
        <v>810</v>
      </c>
      <c r="D23" s="3">
        <v>40</v>
      </c>
      <c r="E23" s="3">
        <v>48</v>
      </c>
      <c r="F23" s="3">
        <v>100</v>
      </c>
      <c r="G23" s="3">
        <v>200</v>
      </c>
    </row>
  </sheetData>
  <pageMargins left="0.7" right="0.7" top="0.75" bottom="0.75" header="0.3" footer="0.3"/>
  <ignoredErrors>
    <ignoredError sqref="D6 G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Volume</vt:lpstr>
      <vt:lpstr>Compressor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2021-11-12T13:20:46Z</dcterms:modified>
</cp:coreProperties>
</file>