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DAF43B6D-8322-F34C-BC2F-A9C14C279D98}" xr6:coauthVersionLast="36" xr6:coauthVersionMax="36" xr10:uidLastSave="{00000000-0000-0000-0000-000000000000}"/>
  <bookViews>
    <workbookView xWindow="1100" yWindow="500" windowWidth="27240" windowHeight="16860" tabRatio="500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3" i="1"/>
  <c r="F4" i="1"/>
  <c r="H4" i="1" s="1"/>
  <c r="I33" i="2" l="1"/>
  <c r="I24" i="2"/>
  <c r="I25" i="2" s="1"/>
  <c r="I31" i="2" s="1"/>
  <c r="I20" i="2"/>
  <c r="I30" i="2" s="1"/>
  <c r="I36" i="2" s="1"/>
  <c r="I17" i="2"/>
  <c r="I11" i="2"/>
  <c r="I19" i="2" s="1"/>
  <c r="I29" i="2" s="1"/>
  <c r="I35" i="2" s="1"/>
  <c r="I8" i="2"/>
  <c r="I9" i="2" s="1"/>
  <c r="X18" i="2"/>
  <c r="Y18" i="2" s="1"/>
  <c r="Z18" i="2"/>
  <c r="X17" i="2"/>
  <c r="Y17" i="2"/>
  <c r="Z17" i="2"/>
  <c r="C33" i="2"/>
  <c r="C24" i="2"/>
  <c r="C25" i="2" s="1"/>
  <c r="C31" i="2" s="1"/>
  <c r="C20" i="2"/>
  <c r="C30" i="2" s="1"/>
  <c r="C36" i="2" s="1"/>
  <c r="C17" i="2"/>
  <c r="C11" i="2"/>
  <c r="C19" i="2" s="1"/>
  <c r="C29" i="2" s="1"/>
  <c r="C35" i="2" s="1"/>
  <c r="C8" i="2"/>
  <c r="C9" i="2" s="1"/>
  <c r="D30" i="2"/>
  <c r="E30" i="2"/>
  <c r="F30" i="2"/>
  <c r="G30" i="2"/>
  <c r="B30" i="2"/>
  <c r="H30" i="2"/>
  <c r="H33" i="2"/>
  <c r="H24" i="2"/>
  <c r="H25" i="2" s="1"/>
  <c r="H31" i="2" s="1"/>
  <c r="H20" i="2"/>
  <c r="H36" i="2" s="1"/>
  <c r="H17" i="2"/>
  <c r="H11" i="2"/>
  <c r="H19" i="2" s="1"/>
  <c r="H29" i="2" s="1"/>
  <c r="H35" i="2" s="1"/>
  <c r="H8" i="2"/>
  <c r="H9" i="2" s="1"/>
  <c r="G20" i="2"/>
  <c r="D20" i="2"/>
  <c r="E20" i="2"/>
  <c r="F20" i="2"/>
  <c r="B20" i="2"/>
  <c r="D33" i="2"/>
  <c r="D24" i="2"/>
  <c r="D25" i="2" s="1"/>
  <c r="D31" i="2" s="1"/>
  <c r="D36" i="2"/>
  <c r="D17" i="2"/>
  <c r="D11" i="2"/>
  <c r="D19" i="2" s="1"/>
  <c r="D8" i="2"/>
  <c r="D9" i="2" s="1"/>
  <c r="F33" i="2"/>
  <c r="F24" i="2"/>
  <c r="F25" i="2" s="1"/>
  <c r="F31" i="2" s="1"/>
  <c r="F17" i="2"/>
  <c r="F11" i="2"/>
  <c r="F19" i="2" s="1"/>
  <c r="F8" i="2"/>
  <c r="F9" i="2" s="1"/>
  <c r="G33" i="2"/>
  <c r="G24" i="2"/>
  <c r="G25" i="2" s="1"/>
  <c r="G31" i="2" s="1"/>
  <c r="G17" i="2"/>
  <c r="G11" i="2"/>
  <c r="G19" i="2" s="1"/>
  <c r="G29" i="2" s="1"/>
  <c r="G8" i="2"/>
  <c r="G9" i="2" s="1"/>
  <c r="M61" i="2"/>
  <c r="M64" i="2" s="1"/>
  <c r="M40" i="2"/>
  <c r="M43" i="2" s="1"/>
  <c r="K77" i="2"/>
  <c r="K78" i="2" s="1"/>
  <c r="L69" i="2"/>
  <c r="K69" i="2"/>
  <c r="L68" i="2"/>
  <c r="K68" i="2"/>
  <c r="L66" i="2"/>
  <c r="L67" i="2" s="1"/>
  <c r="K66" i="2"/>
  <c r="K71" i="2" s="1"/>
  <c r="J71" i="2" s="1"/>
  <c r="K56" i="2"/>
  <c r="K57" i="2" s="1"/>
  <c r="K48" i="2"/>
  <c r="K47" i="2"/>
  <c r="L48" i="2"/>
  <c r="L47" i="2"/>
  <c r="T59" i="2"/>
  <c r="T60" i="2" s="1"/>
  <c r="V60" i="2" s="1"/>
  <c r="T53" i="2"/>
  <c r="T54" i="2" s="1"/>
  <c r="V54" i="2" s="1"/>
  <c r="T46" i="2"/>
  <c r="T47" i="2" s="1"/>
  <c r="T48" i="2" s="1"/>
  <c r="K45" i="2"/>
  <c r="L45" i="2"/>
  <c r="L46" i="2" s="1"/>
  <c r="E33" i="2"/>
  <c r="E24" i="2"/>
  <c r="E25" i="2" s="1"/>
  <c r="E31" i="2" s="1"/>
  <c r="E17" i="2"/>
  <c r="E11" i="2"/>
  <c r="N12" i="2" s="1"/>
  <c r="E8" i="2"/>
  <c r="E9" i="2" s="1"/>
  <c r="T61" i="2" l="1"/>
  <c r="F36" i="2"/>
  <c r="V47" i="2"/>
  <c r="T55" i="2"/>
  <c r="E19" i="2"/>
  <c r="E29" i="2" s="1"/>
  <c r="E35" i="2" s="1"/>
  <c r="J68" i="2"/>
  <c r="D29" i="2"/>
  <c r="D35" i="2" s="1"/>
  <c r="F29" i="2"/>
  <c r="F35" i="2" s="1"/>
  <c r="G36" i="2"/>
  <c r="G35" i="2"/>
  <c r="J69" i="2"/>
  <c r="K67" i="2"/>
  <c r="K72" i="2" s="1"/>
  <c r="J72" i="2" s="1"/>
  <c r="J48" i="2"/>
  <c r="K50" i="2"/>
  <c r="J50" i="2" s="1"/>
  <c r="J47" i="2"/>
  <c r="N14" i="2"/>
  <c r="N15" i="2" s="1"/>
  <c r="N13" i="2"/>
  <c r="K46" i="2"/>
  <c r="K51" i="2" s="1"/>
  <c r="J51" i="2" s="1"/>
  <c r="E36" i="2"/>
  <c r="T65" i="2"/>
  <c r="P71" i="2"/>
  <c r="P65" i="2"/>
  <c r="P66" i="2" s="1"/>
  <c r="P39" i="2"/>
  <c r="P40" i="2" s="1"/>
  <c r="P59" i="2"/>
  <c r="P60" i="2" s="1"/>
  <c r="P53" i="2"/>
  <c r="P54" i="2" s="1"/>
  <c r="P47" i="2"/>
  <c r="P48" i="2" s="1"/>
  <c r="B33" i="2"/>
  <c r="B8" i="2"/>
  <c r="B9" i="2" s="1"/>
  <c r="W33" i="2"/>
  <c r="V32" i="2"/>
  <c r="W32" i="2"/>
  <c r="AB14" i="2"/>
  <c r="AB15" i="2"/>
  <c r="AB16" i="2"/>
  <c r="AB13" i="2"/>
  <c r="V14" i="2"/>
  <c r="V15" i="2"/>
  <c r="V16" i="2"/>
  <c r="V13" i="2"/>
  <c r="X14" i="2"/>
  <c r="X15" i="2"/>
  <c r="X16" i="2"/>
  <c r="X13" i="2"/>
  <c r="V33" i="2"/>
  <c r="W31" i="2"/>
  <c r="W34" i="2" s="1"/>
  <c r="V31" i="2"/>
  <c r="V34" i="2" s="1"/>
  <c r="U14" i="2"/>
  <c r="U15" i="2"/>
  <c r="U16" i="2"/>
  <c r="U13" i="2"/>
  <c r="Z13" i="2" l="1"/>
  <c r="Y16" i="2"/>
  <c r="P72" i="2"/>
  <c r="R72" i="2" s="1"/>
  <c r="T66" i="2"/>
  <c r="Y15" i="2"/>
  <c r="Z14" i="2"/>
  <c r="Y14" i="2"/>
  <c r="Y13" i="2"/>
  <c r="Z16" i="2"/>
  <c r="Z15" i="2"/>
  <c r="P74" i="2" l="1"/>
  <c r="V66" i="2"/>
  <c r="T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8" i="1" s="1"/>
  <c r="M14" i="1"/>
  <c r="M13" i="1"/>
  <c r="M11" i="1"/>
  <c r="O16" i="1"/>
  <c r="O17" i="1" s="1"/>
  <c r="O18" i="1" s="1"/>
  <c r="S6" i="1"/>
  <c r="U4" i="1" s="1"/>
  <c r="O14" i="1"/>
  <c r="P14" i="1"/>
  <c r="P16" i="1"/>
  <c r="P17" i="1" s="1"/>
  <c r="P18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U5" i="1" s="1"/>
  <c r="U7" i="1" s="1"/>
  <c r="N16" i="1"/>
  <c r="N17" i="1" s="1"/>
  <c r="N18" i="1" s="1"/>
  <c r="Q16" i="1"/>
  <c r="Q17" i="1" s="1"/>
  <c r="Q18" i="1" s="1"/>
  <c r="R16" i="1"/>
  <c r="R17" i="1" s="1"/>
  <c r="R18" i="1" s="1"/>
  <c r="S16" i="1"/>
  <c r="S17" i="1" s="1"/>
  <c r="S18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L3" i="2"/>
  <c r="B17" i="2"/>
  <c r="B24" i="2"/>
  <c r="B25" i="2" s="1"/>
  <c r="B31" i="2" s="1"/>
  <c r="B11" i="2"/>
  <c r="B35" i="1"/>
  <c r="B50" i="1"/>
  <c r="B10" i="1"/>
  <c r="B20" i="1" s="1"/>
  <c r="B44" i="1"/>
  <c r="J44" i="1" s="1"/>
  <c r="J45" i="1" s="1"/>
  <c r="B12" i="1"/>
  <c r="B15" i="1"/>
  <c r="B13" i="1"/>
  <c r="B34" i="1"/>
  <c r="B43" i="1"/>
  <c r="B37" i="1"/>
  <c r="B53" i="1" s="1"/>
  <c r="B112" i="1"/>
  <c r="B114" i="1"/>
  <c r="B101" i="1"/>
  <c r="B99" i="1"/>
  <c r="D99" i="1" s="1"/>
  <c r="D101" i="1" s="1"/>
  <c r="B98" i="1"/>
  <c r="B17" i="1"/>
  <c r="E46" i="1"/>
  <c r="G76" i="1"/>
  <c r="G57" i="1"/>
  <c r="B47" i="1"/>
  <c r="B48" i="1" s="1"/>
  <c r="B51" i="1"/>
  <c r="K21" i="1" s="1"/>
  <c r="K23" i="1" s="1"/>
  <c r="K24" i="1" s="1"/>
  <c r="K25" i="1" s="1"/>
  <c r="G61" i="1"/>
  <c r="G63" i="1"/>
  <c r="B106" i="1"/>
  <c r="B107" i="1"/>
  <c r="B80" i="1"/>
  <c r="E66" i="1"/>
  <c r="M12" i="2" l="1"/>
  <c r="M13" i="2" s="1"/>
  <c r="B19" i="2"/>
  <c r="B29" i="2" s="1"/>
  <c r="W35" i="2"/>
  <c r="W39" i="2" s="1"/>
  <c r="W41" i="2" s="1"/>
  <c r="V35" i="2"/>
  <c r="V39" i="2" s="1"/>
  <c r="M14" i="2"/>
  <c r="M15" i="2" s="1"/>
  <c r="B35" i="2"/>
  <c r="B23" i="1"/>
  <c r="B25" i="1" s="1"/>
  <c r="B55" i="1"/>
  <c r="G55" i="1" s="1"/>
  <c r="B82" i="1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4" i="1" s="1"/>
  <c r="V36" i="2" l="1"/>
  <c r="V38" i="2" s="1"/>
  <c r="AC15" i="2"/>
  <c r="AC16" i="2"/>
  <c r="AC13" i="2"/>
  <c r="AC14" i="2"/>
  <c r="W36" i="2"/>
  <c r="W38" i="2" s="1"/>
  <c r="AD16" i="2"/>
  <c r="AD13" i="2"/>
  <c r="AD15" i="2"/>
  <c r="AD14" i="2"/>
  <c r="B28" i="1"/>
  <c r="B27" i="1"/>
  <c r="B30" i="1" s="1"/>
  <c r="U34" i="3"/>
  <c r="S34" i="3"/>
  <c r="V34" i="3"/>
  <c r="B88" i="1"/>
  <c r="B90" i="1"/>
  <c r="P34" i="3"/>
  <c r="L34" i="3"/>
  <c r="O34" i="3"/>
  <c r="R34" i="3"/>
  <c r="Q34" i="3"/>
  <c r="T34" i="3"/>
  <c r="B84" i="1"/>
  <c r="B93" i="1" l="1"/>
  <c r="F93" i="1" s="1"/>
  <c r="B94" i="1"/>
  <c r="B36" i="2"/>
</calcChain>
</file>

<file path=xl/sharedStrings.xml><?xml version="1.0" encoding="utf-8"?>
<sst xmlns="http://schemas.openxmlformats.org/spreadsheetml/2006/main" count="656" uniqueCount="324">
  <si>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</si>
  <si>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</si>
  <si>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</si>
  <si>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</si>
  <si>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</si>
  <si>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</si>
  <si>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</si>
  <si>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</si>
  <si>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</si>
  <si>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</si>
  <si>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</si>
  <si>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</si>
  <si>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</si>
  <si>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</si>
  <si>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</si>
  <si>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</si>
  <si>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</si>
  <si>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</si>
  <si>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</si>
  <si>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</si>
  <si>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</si>
  <si>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</si>
  <si>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</si>
  <si>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</si>
  <si>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</si>
  <si>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</si>
  <si>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</si>
  <si>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</si>
  <si>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</si>
  <si>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</si>
  <si>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</si>
  <si>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</si>
  <si>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</si>
  <si>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</si>
  <si>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</si>
  <si>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</si>
  <si>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</si>
  <si>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</si>
  <si>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</si>
  <si>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</si>
  <si>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</si>
  <si>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</si>
  <si>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</si>
  <si>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</si>
  <si>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</si>
  <si>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</si>
  <si>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</si>
  <si>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</si>
  <si>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</si>
  <si>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</si>
  <si>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</si>
  <si>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</si>
  <si>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</si>
  <si>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</si>
  <si>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</si>
  <si>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</si>
  <si>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</si>
  <si>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</si>
  <si>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</si>
  <si>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</si>
  <si>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</si>
  <si>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</si>
  <si>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</si>
  <si>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</si>
  <si>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</si>
  <si>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</si>
  <si>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</si>
  <si>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</si>
  <si>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</si>
  <si>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</si>
  <si>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</si>
  <si>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</si>
  <si>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</si>
  <si>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</si>
  <si>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</si>
  <si>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</si>
  <si>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</si>
  <si>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</si>
  <si>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</si>
  <si>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</si>
  <si>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</si>
  <si>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</si>
  <si>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</si>
  <si>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</si>
  <si>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</si>
  <si>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</si>
  <si>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</si>
  <si>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</si>
  <si>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</si>
  <si>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</si>
  <si>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</si>
  <si>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</si>
  <si>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</si>
  <si>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</si>
  <si>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</si>
  <si>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</si>
  <si>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</si>
  <si>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</si>
  <si>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</si>
  <si>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</si>
  <si>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</si>
  <si>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</si>
  <si>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</si>
  <si>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</si>
  <si>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</si>
  <si>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</si>
  <si>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</si>
  <si>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</si>
  <si>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</si>
  <si>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</si>
  <si>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</si>
  <si>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</si>
  <si>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</si>
  <si>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</si>
  <si>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</si>
  <si>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</si>
  <si>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</si>
  <si>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</si>
  <si>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</si>
  <si>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</si>
  <si>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</si>
  <si>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</si>
  <si>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</si>
  <si>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swg</t>
  </si>
  <si>
    <t>vsec</t>
  </si>
  <si>
    <t>turns 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</si>
  <si>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</si>
  <si>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</si>
  <si>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</si>
  <si>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</si>
  <si>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</si>
  <si>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</si>
  <si>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</si>
  <si>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</si>
  <si>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</si>
  <si>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</si>
  <si>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</si>
  <si>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</si>
  <si>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</si>
  <si>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</si>
  <si>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</si>
  <si>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</si>
  <si>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</si>
  <si>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</si>
  <si>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</si>
  <si>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</si>
  <si>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</si>
  <si>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</si>
  <si>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</si>
  <si>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</si>
  <si>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</si>
  <si>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</si>
  <si>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</si>
  <si>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</si>
  <si>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</si>
  <si>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</si>
  <si>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</si>
  <si>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</si>
  <si>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</si>
  <si>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</si>
  <si>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</si>
  <si>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</si>
  <si>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</si>
  <si>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</si>
  <si>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</si>
  <si>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</si>
  <si>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</si>
  <si>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</si>
  <si>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</si>
  <si>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</si>
  <si>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</si>
  <si>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</si>
  <si>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</si>
  <si>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</si>
  <si>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(double)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</si>
  <si>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</si>
  <si>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</si>
  <si>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</si>
  <si>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</si>
  <si>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</si>
  <si>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</si>
  <si>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</si>
  <si>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</si>
  <si>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</si>
  <si>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</si>
  <si>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</si>
  <si>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</si>
  <si>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</si>
  <si>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</si>
  <si>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</si>
  <si>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</si>
  <si>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</si>
  <si>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</si>
  <si>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</si>
  <si>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</si>
  <si>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</si>
  <si>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</si>
  <si>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</si>
  <si>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</si>
  <si>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</si>
  <si>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</si>
  <si>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</si>
  <si>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</si>
  <si>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</si>
  <si>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</si>
  <si>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</si>
  <si>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</si>
  <si>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</si>
  <si>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</si>
  <si>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</si>
  <si>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</si>
  <si>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</si>
  <si>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</si>
  <si>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</si>
  <si>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</si>
  <si>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</si>
  <si>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</si>
  <si>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</si>
  <si>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</si>
  <si>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</si>
  <si>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</si>
  <si>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</si>
  <si>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</si>
  <si>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</si>
  <si>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</si>
  <si>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</si>
  <si>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</si>
  <si>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</si>
  <si>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</si>
  <si>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</si>
  <si>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</si>
  <si>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</si>
  <si>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</si>
  <si>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</si>
  <si>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</si>
  <si>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</si>
  <si>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</si>
  <si>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</si>
  <si>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</si>
  <si>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</si>
  <si>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</si>
  <si>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</si>
  <si>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</si>
  <si>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</si>
  <si>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</si>
  <si>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</si>
  <si>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</si>
  <si>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</si>
  <si>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</si>
  <si>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</si>
  <si>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</si>
  <si>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</si>
  <si>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</si>
  <si>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</si>
  <si>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</si>
  <si>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</si>
  <si>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</si>
  <si>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</si>
  <si>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</si>
  <si>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 xml:space="preserve">30 101. 28 163. 26 259. 24 408. </t>
  </si>
  <si>
    <t xml:space="preserve">41 46 S 1 SN .016 </t>
  </si>
  <si>
    <t xml:space="preserve">66 46 S 2 SN .021 105 46 S 2 SN .026 165 46 S 2 SN .032 </t>
  </si>
  <si>
    <t xml:space="preserve">.348 112.5 .567 71.6 .889 45.1 </t>
  </si>
  <si>
    <t xml:space="preserve">1.38 28.7 </t>
  </si>
  <si>
    <t xml:space="preserve">41/46 3/22/46 3/35/46 5/33/46 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</si>
  <si>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</si>
  <si>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</si>
  <si>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</si>
  <si>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</si>
  <si>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</si>
  <si>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</si>
  <si>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</si>
  <si>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</si>
  <si>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</si>
  <si>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</si>
  <si>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</si>
  <si>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</si>
  <si>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</si>
  <si>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area cm^2</t>
  </si>
  <si>
    <t>vol cm^3</t>
  </si>
  <si>
    <t>passes</t>
  </si>
  <si>
    <t>ampacity</t>
  </si>
  <si>
    <t>mT</t>
  </si>
  <si>
    <t>(push-pull each coil)</t>
  </si>
  <si>
    <t>cm bobbin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</si>
  <si>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</si>
  <si>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</si>
  <si>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</si>
  <si>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</si>
  <si>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</si>
  <si>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</si>
  <si>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</si>
  <si>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</si>
  <si>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</si>
  <si>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60/46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</si>
  <si>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</si>
  <si>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</si>
  <si>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</si>
  <si>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</si>
  <si>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</si>
  <si>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</si>
  <si>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</si>
  <si>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</si>
  <si>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</si>
  <si>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</si>
  <si>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</si>
  <si>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</si>
  <si>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</si>
  <si>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</si>
  <si>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</si>
  <si>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</si>
  <si>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</si>
  <si>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</si>
  <si>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</si>
  <si>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</si>
  <si>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330/46</t>
  </si>
  <si>
    <t>270/46</t>
  </si>
  <si>
    <t>cm/A pri</t>
  </si>
  <si>
    <t>cm/A sec</t>
  </si>
  <si>
    <t>cm/strand</t>
  </si>
  <si>
    <t>Qres</t>
  </si>
  <si>
    <t>seconds</t>
  </si>
  <si>
    <t>amps</t>
  </si>
  <si>
    <t>C=it/v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</si>
</sst>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tabSelected="1" workbookViewId="0">
      <selection activeCell="H4" sqref="H4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9" t="s">
        <v>110</v>
      </c>
      <c r="S2">
        <v>2</v>
      </c>
      <c r="T2" t="s">
        <v>151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10^3</f>
        <v>1000</v>
      </c>
      <c r="G3" t="s">
        <v>106</v>
      </c>
      <c r="H3" t="s">
        <v>323</v>
      </c>
      <c r="S3">
        <v>37</v>
      </c>
      <c r="T3" t="s">
        <v>154</v>
      </c>
      <c r="U3" s="2">
        <f>PI()*(S3/2)^2*S4</f>
        <v>7526.4705998377476</v>
      </c>
      <c r="V3" t="s">
        <v>157</v>
      </c>
    </row>
    <row r="4" spans="1:25" x14ac:dyDescent="0.2">
      <c r="B4" s="7">
        <v>11</v>
      </c>
      <c r="C4" t="s">
        <v>65</v>
      </c>
      <c r="D4" t="s">
        <v>67</v>
      </c>
      <c r="F4">
        <f>1.6*10^-6</f>
        <v>1.5999999999999999E-6</v>
      </c>
      <c r="G4" t="s">
        <v>321</v>
      </c>
      <c r="H4">
        <f>F5*F4/F3</f>
        <v>1.6E-12</v>
      </c>
      <c r="J4">
        <v>2.54</v>
      </c>
      <c r="S4">
        <v>7</v>
      </c>
      <c r="T4" t="s">
        <v>155</v>
      </c>
      <c r="U4" s="2">
        <f>S6*S4</f>
        <v>2908.3293990607508</v>
      </c>
      <c r="V4" t="s">
        <v>157</v>
      </c>
    </row>
    <row r="5" spans="1:25" x14ac:dyDescent="0.2">
      <c r="B5" s="11"/>
      <c r="F5">
        <f>10^-3</f>
        <v>1E-3</v>
      </c>
      <c r="G5" t="s">
        <v>322</v>
      </c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156</v>
      </c>
      <c r="U5" s="2">
        <f>U3-U4</f>
        <v>4618.1412007769968</v>
      </c>
      <c r="V5" t="s">
        <v>157</v>
      </c>
    </row>
    <row r="6" spans="1:25" x14ac:dyDescent="0.2">
      <c r="A6" s="19" t="s">
        <v>94</v>
      </c>
      <c r="I6">
        <v>0.28000000000000003</v>
      </c>
      <c r="J6">
        <v>0.38</v>
      </c>
      <c r="M6">
        <v>0.9</v>
      </c>
      <c r="O6" s="9"/>
      <c r="P6" s="9" t="s">
        <v>173</v>
      </c>
      <c r="S6" s="2">
        <f>PI()*(S5/2)^2</f>
        <v>415.47562843725012</v>
      </c>
      <c r="T6" t="s">
        <v>146</v>
      </c>
      <c r="U6">
        <v>5</v>
      </c>
      <c r="V6" t="s">
        <v>158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138</v>
      </c>
      <c r="J7" s="9" t="s">
        <v>139</v>
      </c>
      <c r="K7" s="23" t="s">
        <v>167</v>
      </c>
      <c r="M7" s="9" t="s">
        <v>168</v>
      </c>
      <c r="N7" s="9" t="s">
        <v>140</v>
      </c>
      <c r="O7" s="23" t="s">
        <v>165</v>
      </c>
      <c r="P7" s="23" t="s">
        <v>166</v>
      </c>
      <c r="Q7" s="9" t="s">
        <v>142</v>
      </c>
      <c r="R7" s="9" t="s">
        <v>144</v>
      </c>
      <c r="S7" s="9" t="s">
        <v>145</v>
      </c>
      <c r="U7" s="4">
        <f>U5/1000*U6</f>
        <v>23.090706003884982</v>
      </c>
      <c r="V7" s="12" t="s">
        <v>159</v>
      </c>
      <c r="W7" s="9" t="s">
        <v>169</v>
      </c>
      <c r="X7" s="9" t="s">
        <v>172</v>
      </c>
      <c r="Y7" s="7" t="s">
        <v>175</v>
      </c>
    </row>
    <row r="8" spans="1:25" x14ac:dyDescent="0.2">
      <c r="B8" s="7">
        <v>15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24"/>
      <c r="L8" s="10" t="s">
        <v>174</v>
      </c>
      <c r="O8" s="7"/>
      <c r="P8" s="23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>
        <v>15</v>
      </c>
      <c r="L9" t="s">
        <v>137</v>
      </c>
      <c r="M9" s="9" t="s">
        <v>171</v>
      </c>
      <c r="N9" s="9" t="s">
        <v>141</v>
      </c>
      <c r="O9" s="23" t="s">
        <v>141</v>
      </c>
      <c r="P9" s="23" t="s">
        <v>170</v>
      </c>
      <c r="Q9" s="9" t="s">
        <v>143</v>
      </c>
      <c r="R9" s="9" t="s">
        <v>143</v>
      </c>
      <c r="S9" s="9" t="s">
        <v>149</v>
      </c>
      <c r="U9">
        <v>32</v>
      </c>
      <c r="V9" s="9" t="s">
        <v>160</v>
      </c>
      <c r="W9" s="9" t="s">
        <v>171</v>
      </c>
      <c r="X9" s="9" t="s">
        <v>170</v>
      </c>
      <c r="Y9" s="7"/>
    </row>
    <row r="10" spans="1:25" x14ac:dyDescent="0.2">
      <c r="B10" s="2">
        <f>B35*B50* B9</f>
        <v>11.8125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147</v>
      </c>
      <c r="U10">
        <f>N15*U9</f>
        <v>6400</v>
      </c>
      <c r="V10" t="s">
        <v>161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5">
        <f>O10/25.4</f>
        <v>2.598425196850394E-2</v>
      </c>
      <c r="P11" s="25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148</v>
      </c>
      <c r="U11" s="5">
        <f>Q15*U9</f>
        <v>256</v>
      </c>
      <c r="V11" t="s">
        <v>162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2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133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163</v>
      </c>
      <c r="U13" s="5">
        <f>U11/25.4</f>
        <v>10.078740157480315</v>
      </c>
      <c r="V13" t="s">
        <v>3</v>
      </c>
      <c r="Y13" s="7"/>
    </row>
    <row r="14" spans="1:25" x14ac:dyDescent="0.2">
      <c r="B14">
        <v>105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164</v>
      </c>
    </row>
    <row r="15" spans="1:25" x14ac:dyDescent="0.2">
      <c r="B15" s="5">
        <f>(B12/12000)*B14</f>
        <v>39.790234453123219</v>
      </c>
      <c r="C15" t="s">
        <v>86</v>
      </c>
      <c r="E15" s="1"/>
      <c r="K15" s="7">
        <v>98.8</v>
      </c>
      <c r="L15" t="s">
        <v>133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153</v>
      </c>
    </row>
    <row r="16" spans="1:25" x14ac:dyDescent="0.2">
      <c r="E16" s="1"/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146</v>
      </c>
    </row>
    <row r="17" spans="1:20" x14ac:dyDescent="0.2">
      <c r="B17" s="2">
        <f>(0.29*B10+(0.41*(F44/2))+(1.94*SQRT(((F44/2)^3)/B10)))</f>
        <v>3.4256249999999997</v>
      </c>
      <c r="C17" t="s">
        <v>54</v>
      </c>
      <c r="D17" t="s">
        <v>55</v>
      </c>
      <c r="E17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152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1">
        <f>M17/$S6</f>
        <v>0.61247637051039705</v>
      </c>
      <c r="N18" s="21">
        <f>N17/$S6</f>
        <v>0.34964083175803412</v>
      </c>
      <c r="O18" s="21">
        <f t="shared" ref="O18:P18" si="8">O17/$S6</f>
        <v>0.32937618147448022</v>
      </c>
      <c r="P18" s="21">
        <f t="shared" si="8"/>
        <v>0.30623818525519847</v>
      </c>
      <c r="Q18" s="21">
        <f t="shared" ref="Q18:S18" si="9">Q17/$S6</f>
        <v>0.32937618147448011</v>
      </c>
      <c r="R18" s="21">
        <f t="shared" si="9"/>
        <v>0.32937618147448011</v>
      </c>
      <c r="S18" s="21">
        <f t="shared" si="9"/>
        <v>0.18903591682419663</v>
      </c>
      <c r="T18" t="s">
        <v>150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6">
        <f>((((B7^2) * ((B11/2)^2)) /(( 9 * (B11/2)) + ( 10 * B10))))</f>
        <v>4130.6999645138394</v>
      </c>
      <c r="C20" t="s">
        <v>57</v>
      </c>
      <c r="D20" t="s">
        <v>55</v>
      </c>
      <c r="E20" t="s">
        <v>61</v>
      </c>
      <c r="K20" s="18" t="s">
        <v>115</v>
      </c>
      <c r="L20" s="18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20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7">
        <f>1/(2*PI() * SQRT( (B20*0.000001) * ((B18+B4)*0.000000000001) ) )</f>
        <v>602681.86881501274</v>
      </c>
      <c r="C23" t="s">
        <v>63</v>
      </c>
      <c r="D23" t="s">
        <v>39</v>
      </c>
      <c r="E23" t="s">
        <v>68</v>
      </c>
      <c r="K23" s="20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1.6592501811381688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3786761.863042023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7">
        <f>B25*(B20/1000000)</f>
        <v>15641.977093290045</v>
      </c>
      <c r="C27" t="s">
        <v>82</v>
      </c>
    </row>
    <row r="28" spans="1:20" x14ac:dyDescent="0.2">
      <c r="B28" s="17">
        <f>1/(B25*((B18+B4)/1000000000000))</f>
        <v>15641.977093290046</v>
      </c>
      <c r="C28" t="s">
        <v>83</v>
      </c>
    </row>
    <row r="30" spans="1:20" x14ac:dyDescent="0.2">
      <c r="B30" s="14">
        <f>B27/B15</f>
        <v>393.11095569737898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9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138</v>
      </c>
      <c r="J32" s="9" t="s">
        <v>139</v>
      </c>
      <c r="K32" s="9" t="s">
        <v>167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137</v>
      </c>
    </row>
    <row r="35" spans="2:12" x14ac:dyDescent="0.2">
      <c r="B35">
        <f>B8/1000</f>
        <v>1.4999999999999999E-2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1.4E-2</v>
      </c>
      <c r="C42" t="s">
        <v>3</v>
      </c>
      <c r="D42" t="s">
        <v>1</v>
      </c>
    </row>
    <row r="43" spans="2:12" x14ac:dyDescent="0.2">
      <c r="B43">
        <f>B42*25.4</f>
        <v>0.35559999999999997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603.97910044488617</v>
      </c>
      <c r="K44" t="s">
        <v>21</v>
      </c>
    </row>
    <row r="45" spans="2:12" x14ac:dyDescent="0.2">
      <c r="J45" s="1">
        <f>J44/1000</f>
        <v>0.60397910044488612</v>
      </c>
    </row>
    <row r="46" spans="2:12" x14ac:dyDescent="0.2">
      <c r="B46">
        <v>320</v>
      </c>
      <c r="C46" t="s">
        <v>2</v>
      </c>
      <c r="D46" t="s">
        <v>62</v>
      </c>
      <c r="E46" s="2">
        <f>B46/25.4</f>
        <v>12.598425196850394</v>
      </c>
      <c r="F46" t="s">
        <v>7</v>
      </c>
      <c r="J46" s="4">
        <f>B65*J45</f>
        <v>9.6835275031775581</v>
      </c>
      <c r="K46" t="s">
        <v>227</v>
      </c>
    </row>
    <row r="47" spans="2:12" x14ac:dyDescent="0.2">
      <c r="B47" s="2">
        <f>PI() * B44*B43*B46/1000</f>
        <v>17.524782189074415</v>
      </c>
      <c r="C47" t="s">
        <v>21</v>
      </c>
      <c r="D47" t="s">
        <v>22</v>
      </c>
    </row>
    <row r="48" spans="2:12" x14ac:dyDescent="0.2">
      <c r="B48" s="2">
        <f>B47*B40</f>
        <v>22.256473380124508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179</v>
      </c>
      <c r="H51" t="s">
        <v>178</v>
      </c>
      <c r="I51" t="s">
        <v>177</v>
      </c>
      <c r="J51">
        <v>8</v>
      </c>
      <c r="K51" t="s">
        <v>9</v>
      </c>
    </row>
    <row r="52" spans="2:11" x14ac:dyDescent="0.2">
      <c r="G52" t="s">
        <v>182</v>
      </c>
      <c r="H52" t="s">
        <v>181</v>
      </c>
      <c r="I52" t="s">
        <v>180</v>
      </c>
      <c r="J52">
        <v>600</v>
      </c>
      <c r="K52" t="s">
        <v>176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82.128270729818254</v>
      </c>
      <c r="C55" t="s">
        <v>9</v>
      </c>
      <c r="D55" t="s">
        <v>14</v>
      </c>
      <c r="G55" s="2">
        <f>B55</f>
        <v>82.128270729818254</v>
      </c>
    </row>
    <row r="57" spans="2:11" x14ac:dyDescent="0.2">
      <c r="B57">
        <v>64</v>
      </c>
      <c r="C57" t="s">
        <v>9</v>
      </c>
      <c r="D57" t="s">
        <v>183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237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226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133</v>
      </c>
      <c r="D67" t="s">
        <v>238</v>
      </c>
      <c r="E67">
        <v>4</v>
      </c>
      <c r="F67">
        <v>0.7</v>
      </c>
      <c r="I67" t="s">
        <v>233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232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8" t="s">
        <v>109</v>
      </c>
    </row>
    <row r="79" spans="1:12" x14ac:dyDescent="0.2">
      <c r="B79">
        <f>H83</f>
        <v>1.6</v>
      </c>
      <c r="C79" t="s">
        <v>26</v>
      </c>
      <c r="D79" t="s">
        <v>228</v>
      </c>
    </row>
    <row r="80" spans="1:12" x14ac:dyDescent="0.2">
      <c r="B80" s="2">
        <f>B79*1000/9.8</f>
        <v>163.26530612244898</v>
      </c>
      <c r="C80" t="s">
        <v>48</v>
      </c>
      <c r="G80" t="s">
        <v>235</v>
      </c>
    </row>
    <row r="81" spans="1:9" x14ac:dyDescent="0.2">
      <c r="G81" t="s">
        <v>186</v>
      </c>
      <c r="H81" s="31">
        <v>25</v>
      </c>
      <c r="I81" t="s">
        <v>133</v>
      </c>
    </row>
    <row r="82" spans="1:9" x14ac:dyDescent="0.2">
      <c r="B82" s="2">
        <f>SUM(G55:G76)</f>
        <v>495.1426226339882</v>
      </c>
      <c r="C82" t="s">
        <v>9</v>
      </c>
      <c r="D82" t="s">
        <v>31</v>
      </c>
      <c r="G82" t="s">
        <v>187</v>
      </c>
      <c r="H82" s="31">
        <v>100</v>
      </c>
      <c r="I82" t="s">
        <v>133</v>
      </c>
    </row>
    <row r="83" spans="1:9" x14ac:dyDescent="0.2">
      <c r="G83" t="s">
        <v>188</v>
      </c>
      <c r="H83" s="31">
        <v>1.6</v>
      </c>
      <c r="I83" t="s">
        <v>26</v>
      </c>
    </row>
    <row r="84" spans="1:9" x14ac:dyDescent="0.2">
      <c r="B84" s="2">
        <f>B80/B82</f>
        <v>0.32973389617305371</v>
      </c>
      <c r="D84" t="s">
        <v>27</v>
      </c>
      <c r="G84" t="s">
        <v>189</v>
      </c>
      <c r="H84" s="31">
        <v>60</v>
      </c>
      <c r="I84" t="s">
        <v>121</v>
      </c>
    </row>
    <row r="85" spans="1:9" x14ac:dyDescent="0.2">
      <c r="G85" t="s">
        <v>190</v>
      </c>
      <c r="H85" s="31">
        <v>0.8</v>
      </c>
      <c r="I85" t="s">
        <v>184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191</v>
      </c>
      <c r="H86" s="31">
        <v>75</v>
      </c>
      <c r="I86" t="s">
        <v>185</v>
      </c>
    </row>
    <row r="88" spans="1:9" x14ac:dyDescent="0.2">
      <c r="B88" s="1">
        <f>B82/B86</f>
        <v>0.11003169391866405</v>
      </c>
      <c r="C88" t="s">
        <v>29</v>
      </c>
      <c r="D88" t="s">
        <v>30</v>
      </c>
    </row>
    <row r="90" spans="1:9" x14ac:dyDescent="0.2">
      <c r="B90" s="2">
        <f>B82/30</f>
        <v>16.504754087799608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3.4074262871311345</v>
      </c>
      <c r="C93" t="s">
        <v>51</v>
      </c>
      <c r="D93" t="s">
        <v>30</v>
      </c>
      <c r="F93" s="2">
        <f>B93/16</f>
        <v>0.21296414294569591</v>
      </c>
      <c r="G93" t="s">
        <v>234</v>
      </c>
    </row>
    <row r="94" spans="1:9" x14ac:dyDescent="0.2">
      <c r="B94" s="4">
        <f>B90/(B91/144)^1.5</f>
        <v>1.5482289190492906</v>
      </c>
      <c r="C94" t="s">
        <v>52</v>
      </c>
      <c r="D94" t="s">
        <v>53</v>
      </c>
    </row>
    <row r="96" spans="1:9" x14ac:dyDescent="0.2">
      <c r="A96" s="18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236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240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2">
        <f>1/B117</f>
        <v>13.360715576296519</v>
      </c>
      <c r="C119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239</v>
      </c>
    </row>
    <row r="2" spans="1:3" x14ac:dyDescent="0.2">
      <c r="B2">
        <v>5.3</v>
      </c>
    </row>
    <row r="3" spans="1:3" x14ac:dyDescent="0.2">
      <c r="A3" t="s">
        <v>133</v>
      </c>
      <c r="B3" t="s">
        <v>243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78"/>
  <sheetViews>
    <sheetView workbookViewId="0">
      <selection activeCell="C6" sqref="C6"/>
    </sheetView>
  </sheetViews>
  <sheetFormatPr baseColWidth="10" defaultRowHeight="16" x14ac:dyDescent="0.2"/>
  <cols>
    <col min="1" max="1" width="3.5" customWidth="1"/>
    <col min="2" max="4" width="9" customWidth="1"/>
    <col min="5" max="6" width="8.5" customWidth="1"/>
    <col min="7" max="9" width="8.83203125" customWidth="1"/>
    <col min="10" max="10" width="20.33203125" customWidth="1"/>
    <col min="11" max="11" width="12.1640625" customWidth="1"/>
    <col min="16" max="16" width="12.1640625" bestFit="1" customWidth="1"/>
  </cols>
  <sheetData>
    <row r="2" spans="1:30" x14ac:dyDescent="0.2">
      <c r="A2" s="18" t="s">
        <v>111</v>
      </c>
    </row>
    <row r="3" spans="1:30" x14ac:dyDescent="0.2">
      <c r="B3">
        <v>11.1</v>
      </c>
      <c r="C3">
        <v>14.8</v>
      </c>
      <c r="D3">
        <v>11.1</v>
      </c>
      <c r="E3">
        <v>14.8</v>
      </c>
      <c r="F3">
        <v>14.8</v>
      </c>
      <c r="G3">
        <v>11.1</v>
      </c>
      <c r="H3">
        <v>14.8</v>
      </c>
      <c r="I3">
        <v>14.8</v>
      </c>
      <c r="J3" t="s">
        <v>100</v>
      </c>
      <c r="K3" t="s">
        <v>106</v>
      </c>
      <c r="L3">
        <f>B3*2</f>
        <v>22.2</v>
      </c>
      <c r="M3" t="s">
        <v>136</v>
      </c>
      <c r="N3" t="s">
        <v>255</v>
      </c>
    </row>
    <row r="4" spans="1:30" x14ac:dyDescent="0.2">
      <c r="B4">
        <v>0.49</v>
      </c>
      <c r="C4">
        <v>0.49</v>
      </c>
      <c r="D4">
        <v>0.626</v>
      </c>
      <c r="E4">
        <v>0.626</v>
      </c>
      <c r="F4">
        <v>0.626</v>
      </c>
      <c r="G4">
        <v>0.626</v>
      </c>
      <c r="H4">
        <v>0.626</v>
      </c>
      <c r="I4">
        <v>0.626</v>
      </c>
      <c r="J4" t="s">
        <v>101</v>
      </c>
      <c r="K4" t="s">
        <v>17</v>
      </c>
    </row>
    <row r="5" spans="1:30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 t="s">
        <v>102</v>
      </c>
      <c r="K5" t="s">
        <v>63</v>
      </c>
    </row>
    <row r="6" spans="1:30" x14ac:dyDescent="0.2">
      <c r="B6">
        <v>3</v>
      </c>
      <c r="C6">
        <v>3</v>
      </c>
      <c r="D6">
        <v>2</v>
      </c>
      <c r="E6">
        <v>3</v>
      </c>
      <c r="F6">
        <v>3</v>
      </c>
      <c r="G6">
        <v>2</v>
      </c>
      <c r="H6">
        <v>3</v>
      </c>
      <c r="I6">
        <v>4</v>
      </c>
      <c r="J6" t="s">
        <v>103</v>
      </c>
      <c r="K6" t="s">
        <v>120</v>
      </c>
      <c r="L6" t="s">
        <v>283</v>
      </c>
    </row>
    <row r="7" spans="1:30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 t="s">
        <v>104</v>
      </c>
      <c r="K7" t="s">
        <v>107</v>
      </c>
    </row>
    <row r="8" spans="1:30" x14ac:dyDescent="0.2">
      <c r="B8" s="5">
        <f t="shared" ref="B8:I8" si="0">(B3*10^8)/(B4*B5*B6*B7)</f>
        <v>302.0408163265306</v>
      </c>
      <c r="C8" s="5">
        <f t="shared" si="0"/>
        <v>402.72108843537416</v>
      </c>
      <c r="D8" s="5">
        <f t="shared" si="0"/>
        <v>354.63258785942492</v>
      </c>
      <c r="E8" s="5">
        <f t="shared" si="0"/>
        <v>315.22896698615551</v>
      </c>
      <c r="F8" s="5">
        <f t="shared" si="0"/>
        <v>315.22896698615551</v>
      </c>
      <c r="G8" s="5">
        <f t="shared" si="0"/>
        <v>354.63258785942492</v>
      </c>
      <c r="H8" s="5">
        <f t="shared" si="0"/>
        <v>315.22896698615551</v>
      </c>
      <c r="I8" s="5">
        <f t="shared" si="0"/>
        <v>236.42172523961662</v>
      </c>
      <c r="J8" t="s">
        <v>99</v>
      </c>
      <c r="K8" t="s">
        <v>105</v>
      </c>
    </row>
    <row r="9" spans="1:30" ht="17" thickBot="1" x14ac:dyDescent="0.25">
      <c r="B9" s="4">
        <f t="shared" ref="B9:I9" si="1">B8/10</f>
        <v>30.204081632653061</v>
      </c>
      <c r="C9" s="4">
        <f t="shared" si="1"/>
        <v>40.272108843537417</v>
      </c>
      <c r="D9" s="4">
        <f t="shared" si="1"/>
        <v>35.463258785942493</v>
      </c>
      <c r="E9" s="4">
        <f t="shared" si="1"/>
        <v>31.522896698615551</v>
      </c>
      <c r="F9" s="4">
        <f t="shared" si="1"/>
        <v>31.522896698615551</v>
      </c>
      <c r="G9" s="4">
        <f t="shared" si="1"/>
        <v>35.463258785942493</v>
      </c>
      <c r="H9" s="4">
        <f t="shared" si="1"/>
        <v>31.522896698615551</v>
      </c>
      <c r="I9" s="4">
        <f t="shared" si="1"/>
        <v>23.642172523961662</v>
      </c>
      <c r="K9" t="s">
        <v>282</v>
      </c>
      <c r="L9" t="s">
        <v>293</v>
      </c>
    </row>
    <row r="10" spans="1:30" x14ac:dyDescent="0.2">
      <c r="B10" s="7">
        <v>100</v>
      </c>
      <c r="C10" s="7">
        <v>200</v>
      </c>
      <c r="D10" s="7">
        <v>130</v>
      </c>
      <c r="E10" s="7">
        <v>130</v>
      </c>
      <c r="F10" s="7">
        <v>160</v>
      </c>
      <c r="G10" s="7">
        <v>200</v>
      </c>
      <c r="H10" s="7">
        <v>200</v>
      </c>
      <c r="I10" s="7">
        <v>200</v>
      </c>
      <c r="J10" t="s">
        <v>121</v>
      </c>
      <c r="L10" s="39" t="s">
        <v>296</v>
      </c>
      <c r="M10" s="40"/>
      <c r="N10" s="41"/>
      <c r="Q10">
        <v>660</v>
      </c>
      <c r="R10">
        <v>6.2E-2</v>
      </c>
    </row>
    <row r="11" spans="1:30" x14ac:dyDescent="0.2">
      <c r="B11" s="2">
        <f t="shared" ref="B11:I11" si="2">B10/B3</f>
        <v>9.0090090090090094</v>
      </c>
      <c r="C11" s="2">
        <f t="shared" si="2"/>
        <v>13.513513513513512</v>
      </c>
      <c r="D11" s="2">
        <f t="shared" si="2"/>
        <v>11.711711711711713</v>
      </c>
      <c r="E11" s="2">
        <f t="shared" si="2"/>
        <v>8.7837837837837842</v>
      </c>
      <c r="F11" s="2">
        <f t="shared" si="2"/>
        <v>10.810810810810811</v>
      </c>
      <c r="G11" s="2">
        <f t="shared" si="2"/>
        <v>18.018018018018019</v>
      </c>
      <c r="H11" s="2">
        <f t="shared" si="2"/>
        <v>13.513513513513512</v>
      </c>
      <c r="I11" s="2">
        <f t="shared" si="2"/>
        <v>13.513513513513512</v>
      </c>
      <c r="J11" t="s">
        <v>122</v>
      </c>
      <c r="L11" s="42" t="s">
        <v>256</v>
      </c>
      <c r="M11" s="37">
        <v>3.5000000000000003E-2</v>
      </c>
      <c r="N11" s="43">
        <v>3.5000000000000003E-2</v>
      </c>
      <c r="Q11">
        <v>60</v>
      </c>
      <c r="R11">
        <v>1.9E-2</v>
      </c>
      <c r="U11" t="s">
        <v>281</v>
      </c>
    </row>
    <row r="12" spans="1:30" x14ac:dyDescent="0.2">
      <c r="L12" s="44" t="s">
        <v>257</v>
      </c>
      <c r="M12" s="38">
        <f>B11/2</f>
        <v>4.5045045045045047</v>
      </c>
      <c r="N12" s="45">
        <f>E11/2</f>
        <v>4.3918918918918921</v>
      </c>
      <c r="O12" t="s">
        <v>265</v>
      </c>
      <c r="P12" t="s">
        <v>133</v>
      </c>
      <c r="Q12" t="s">
        <v>266</v>
      </c>
      <c r="R12" t="s">
        <v>267</v>
      </c>
      <c r="S12" t="s">
        <v>273</v>
      </c>
      <c r="U12" t="s">
        <v>163</v>
      </c>
      <c r="V12" t="s">
        <v>271</v>
      </c>
      <c r="X12" t="s">
        <v>270</v>
      </c>
      <c r="Y12" t="s">
        <v>84</v>
      </c>
      <c r="AB12" t="s">
        <v>272</v>
      </c>
      <c r="AC12" t="s">
        <v>277</v>
      </c>
    </row>
    <row r="13" spans="1:30" x14ac:dyDescent="0.2"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 t="s">
        <v>123</v>
      </c>
      <c r="L13" s="44" t="s">
        <v>258</v>
      </c>
      <c r="M13" s="38">
        <f>M12*M11</f>
        <v>0.15765765765765768</v>
      </c>
      <c r="N13" s="45">
        <f>N12*N11</f>
        <v>0.15371621621621623</v>
      </c>
      <c r="O13">
        <v>30</v>
      </c>
      <c r="P13">
        <v>101</v>
      </c>
      <c r="Q13">
        <v>41</v>
      </c>
      <c r="R13">
        <v>1.6E-2</v>
      </c>
      <c r="S13">
        <v>112.5</v>
      </c>
      <c r="U13">
        <f>P13/500</f>
        <v>0.20200000000000001</v>
      </c>
      <c r="V13" s="1">
        <f>P13/300</f>
        <v>0.33666666666666667</v>
      </c>
      <c r="X13" s="2">
        <f t="shared" ref="X13:X18" si="3">R13*25.4</f>
        <v>0.40639999999999998</v>
      </c>
      <c r="Y13" s="5">
        <f t="shared" ref="Y13:Z18" si="4">V$33/$X13</f>
        <v>200.98771897966199</v>
      </c>
      <c r="Z13" s="5">
        <f t="shared" si="4"/>
        <v>177.79682832816249</v>
      </c>
      <c r="AB13" s="34">
        <f>S13/1000 / (2.54 * 12) * 100</f>
        <v>0.36909448818897639</v>
      </c>
      <c r="AC13" s="4">
        <f t="shared" ref="AC13:AD16" si="5">$AB13*V$35</f>
        <v>1.3965737390934241</v>
      </c>
      <c r="AD13" s="4">
        <f t="shared" si="5"/>
        <v>1.1172589912747395</v>
      </c>
    </row>
    <row r="14" spans="1:30" x14ac:dyDescent="0.2"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 t="s">
        <v>123</v>
      </c>
      <c r="L14" s="44" t="s">
        <v>121</v>
      </c>
      <c r="M14" s="38">
        <f>M12^2 * M11</f>
        <v>0.71016962908854819</v>
      </c>
      <c r="N14" s="45">
        <f>N12^2 * N11</f>
        <v>0.67510500365230108</v>
      </c>
      <c r="O14">
        <v>28</v>
      </c>
      <c r="P14">
        <v>163</v>
      </c>
      <c r="Q14">
        <v>66</v>
      </c>
      <c r="R14">
        <v>1.9E-2</v>
      </c>
      <c r="S14">
        <v>71.599999999999994</v>
      </c>
      <c r="U14">
        <f t="shared" ref="U14:U16" si="6">P14/500</f>
        <v>0.32600000000000001</v>
      </c>
      <c r="V14" s="1">
        <f t="shared" ref="V14:V16" si="7">P14/300</f>
        <v>0.54333333333333333</v>
      </c>
      <c r="X14" s="2">
        <f t="shared" si="3"/>
        <v>0.48259999999999997</v>
      </c>
      <c r="Y14" s="5">
        <f t="shared" si="4"/>
        <v>169.25281598287324</v>
      </c>
      <c r="Z14" s="5">
        <f t="shared" si="4"/>
        <v>149.72364490792631</v>
      </c>
      <c r="AB14" s="34">
        <f t="shared" ref="AB14:AB16" si="8">S14/1000 / (2.54 * 12) * 100</f>
        <v>0.23490813648293962</v>
      </c>
      <c r="AC14" s="4">
        <f t="shared" si="5"/>
        <v>0.88884159750301484</v>
      </c>
      <c r="AD14" s="4">
        <f t="shared" si="5"/>
        <v>0.71107327800241182</v>
      </c>
    </row>
    <row r="15" spans="1:30" x14ac:dyDescent="0.2">
      <c r="L15" s="44" t="s">
        <v>297</v>
      </c>
      <c r="M15" s="38">
        <f>2*M14</f>
        <v>1.4203392581770964</v>
      </c>
      <c r="N15" s="45">
        <f>2*N14</f>
        <v>1.3502100073046022</v>
      </c>
      <c r="O15">
        <v>26</v>
      </c>
      <c r="P15">
        <v>259</v>
      </c>
      <c r="Q15">
        <v>105</v>
      </c>
      <c r="R15">
        <v>2.5999999999999999E-2</v>
      </c>
      <c r="S15">
        <v>45.1</v>
      </c>
      <c r="U15">
        <f t="shared" si="6"/>
        <v>0.51800000000000002</v>
      </c>
      <c r="V15" s="1">
        <f t="shared" si="7"/>
        <v>0.86333333333333329</v>
      </c>
      <c r="X15" s="2">
        <f t="shared" si="3"/>
        <v>0.66039999999999999</v>
      </c>
      <c r="Y15" s="5">
        <f t="shared" si="4"/>
        <v>123.68475014133045</v>
      </c>
      <c r="Z15" s="5">
        <f t="shared" si="4"/>
        <v>109.41343281733077</v>
      </c>
      <c r="AB15" s="34">
        <f t="shared" si="8"/>
        <v>0.14796587926509186</v>
      </c>
      <c r="AC15" s="4">
        <f t="shared" si="5"/>
        <v>0.5598708945165638</v>
      </c>
      <c r="AD15" s="4">
        <f t="shared" si="5"/>
        <v>0.44789671561325106</v>
      </c>
    </row>
    <row r="16" spans="1:30" ht="17" thickBot="1" x14ac:dyDescent="0.25">
      <c r="B16" s="7">
        <v>400</v>
      </c>
      <c r="C16" s="7">
        <v>400</v>
      </c>
      <c r="D16" s="7">
        <v>400</v>
      </c>
      <c r="E16" s="7">
        <v>400</v>
      </c>
      <c r="F16" s="7">
        <v>400</v>
      </c>
      <c r="G16" s="7">
        <v>400</v>
      </c>
      <c r="H16" s="7">
        <v>400</v>
      </c>
      <c r="I16" s="7">
        <v>400</v>
      </c>
      <c r="J16" t="s">
        <v>124</v>
      </c>
      <c r="L16" s="46"/>
      <c r="M16" s="47"/>
      <c r="N16" s="48"/>
      <c r="O16">
        <v>24</v>
      </c>
      <c r="P16">
        <v>408</v>
      </c>
      <c r="Q16">
        <v>165</v>
      </c>
      <c r="R16">
        <v>3.2000000000000001E-2</v>
      </c>
      <c r="S16">
        <v>28.7</v>
      </c>
      <c r="U16">
        <f t="shared" si="6"/>
        <v>0.81599999999999995</v>
      </c>
      <c r="V16" s="1">
        <f t="shared" si="7"/>
        <v>1.36</v>
      </c>
      <c r="X16" s="2">
        <f t="shared" si="3"/>
        <v>0.81279999999999997</v>
      </c>
      <c r="Y16" s="5">
        <f t="shared" si="4"/>
        <v>100.493859489831</v>
      </c>
      <c r="Z16" s="5">
        <f t="shared" si="4"/>
        <v>88.898414164081245</v>
      </c>
      <c r="AB16" s="34">
        <f t="shared" si="8"/>
        <v>9.416010498687663E-2</v>
      </c>
      <c r="AC16" s="4">
        <f t="shared" si="5"/>
        <v>0.35628147832872237</v>
      </c>
      <c r="AD16" s="4">
        <f t="shared" si="5"/>
        <v>0.28502518266297794</v>
      </c>
    </row>
    <row r="17" spans="2:26" x14ac:dyDescent="0.2">
      <c r="B17" s="5">
        <f t="shared" ref="B17:I17" si="9">B16/B3*B6</f>
        <v>108.10810810810811</v>
      </c>
      <c r="C17" s="5">
        <f t="shared" si="9"/>
        <v>81.081081081081066</v>
      </c>
      <c r="D17" s="5">
        <f t="shared" si="9"/>
        <v>72.072072072072075</v>
      </c>
      <c r="E17" s="5">
        <f t="shared" si="9"/>
        <v>81.081081081081066</v>
      </c>
      <c r="F17" s="5">
        <f t="shared" si="9"/>
        <v>81.081081081081066</v>
      </c>
      <c r="G17" s="5">
        <f t="shared" si="9"/>
        <v>72.072072072072075</v>
      </c>
      <c r="H17" s="5">
        <f t="shared" si="9"/>
        <v>81.081081081081066</v>
      </c>
      <c r="I17" s="5">
        <f t="shared" si="9"/>
        <v>108.1081081081081</v>
      </c>
      <c r="J17" t="s">
        <v>125</v>
      </c>
      <c r="Q17">
        <v>270</v>
      </c>
      <c r="R17">
        <v>3.9E-2</v>
      </c>
      <c r="X17" s="2">
        <f t="shared" si="3"/>
        <v>0.99059999999999993</v>
      </c>
      <c r="Y17" s="5">
        <f t="shared" si="4"/>
        <v>82.456500094220303</v>
      </c>
      <c r="Z17" s="5">
        <f t="shared" si="4"/>
        <v>72.942288544887177</v>
      </c>
    </row>
    <row r="18" spans="2:26" x14ac:dyDescent="0.2">
      <c r="B18" s="5"/>
      <c r="C18" s="5"/>
      <c r="D18" s="5"/>
      <c r="E18" s="5"/>
      <c r="F18" s="5"/>
      <c r="G18" s="5"/>
      <c r="H18" s="5"/>
      <c r="I18" s="5"/>
      <c r="Q18">
        <v>330</v>
      </c>
      <c r="R18">
        <v>4.2000000000000003E-2</v>
      </c>
      <c r="X18" s="2">
        <f t="shared" si="3"/>
        <v>1.0668</v>
      </c>
      <c r="Y18" s="5">
        <f t="shared" si="4"/>
        <v>76.566750087490277</v>
      </c>
      <c r="Z18" s="5">
        <f t="shared" si="4"/>
        <v>67.732125077395239</v>
      </c>
    </row>
    <row r="19" spans="2:26" x14ac:dyDescent="0.2">
      <c r="B19" s="2">
        <f>B11/2</f>
        <v>4.5045045045045047</v>
      </c>
      <c r="C19" s="2">
        <f>C11/2</f>
        <v>6.7567567567567561</v>
      </c>
      <c r="D19" s="2">
        <f t="shared" ref="D19:F19" si="10">D11/2</f>
        <v>5.8558558558558564</v>
      </c>
      <c r="E19" s="2">
        <f t="shared" si="10"/>
        <v>4.3918918918918921</v>
      </c>
      <c r="F19" s="2">
        <f t="shared" si="10"/>
        <v>5.4054054054054053</v>
      </c>
      <c r="G19" s="2">
        <f t="shared" ref="G19:H19" si="11">G11/2</f>
        <v>9.0090090090090094</v>
      </c>
      <c r="H19" s="2">
        <f t="shared" si="11"/>
        <v>6.7567567567567561</v>
      </c>
      <c r="I19" s="2">
        <f t="shared" ref="I19" si="12">I11/2</f>
        <v>6.7567567567567561</v>
      </c>
      <c r="J19" t="s">
        <v>126</v>
      </c>
      <c r="Q19">
        <v>420</v>
      </c>
      <c r="R19">
        <v>4.8000000000000001E-2</v>
      </c>
    </row>
    <row r="20" spans="2:26" x14ac:dyDescent="0.2">
      <c r="B20">
        <f>B10/B16</f>
        <v>0.25</v>
      </c>
      <c r="C20">
        <f>C10/C16</f>
        <v>0.5</v>
      </c>
      <c r="D20">
        <f t="shared" ref="D20:F20" si="13">D10/D16</f>
        <v>0.32500000000000001</v>
      </c>
      <c r="E20">
        <f t="shared" si="13"/>
        <v>0.32500000000000001</v>
      </c>
      <c r="F20">
        <f t="shared" si="13"/>
        <v>0.4</v>
      </c>
      <c r="G20">
        <f t="shared" ref="G20:H20" si="14">G10/G16</f>
        <v>0.5</v>
      </c>
      <c r="H20">
        <f t="shared" si="14"/>
        <v>0.5</v>
      </c>
      <c r="I20">
        <f t="shared" ref="I20" si="15">I10/I16</f>
        <v>0.5</v>
      </c>
      <c r="J20" t="s">
        <v>127</v>
      </c>
      <c r="O20" s="33" t="s">
        <v>259</v>
      </c>
      <c r="Q20">
        <v>660</v>
      </c>
      <c r="R20">
        <v>6.2E-2</v>
      </c>
    </row>
    <row r="22" spans="2:26" x14ac:dyDescent="0.2">
      <c r="B22" s="7">
        <v>200</v>
      </c>
      <c r="C22" s="7">
        <v>200</v>
      </c>
      <c r="D22" s="7">
        <v>200</v>
      </c>
      <c r="E22" s="7">
        <v>200</v>
      </c>
      <c r="F22" s="7">
        <v>200</v>
      </c>
      <c r="G22" s="7">
        <v>200</v>
      </c>
      <c r="H22" s="7">
        <v>200</v>
      </c>
      <c r="I22" s="7">
        <v>200</v>
      </c>
      <c r="J22" t="s">
        <v>320</v>
      </c>
      <c r="O22" s="33" t="s">
        <v>260</v>
      </c>
    </row>
    <row r="24" spans="2:26" x14ac:dyDescent="0.2">
      <c r="B24">
        <f t="shared" ref="B24:I24" si="16">B16*B22</f>
        <v>80000</v>
      </c>
      <c r="C24">
        <f t="shared" si="16"/>
        <v>80000</v>
      </c>
      <c r="D24">
        <f t="shared" si="16"/>
        <v>80000</v>
      </c>
      <c r="E24">
        <f t="shared" si="16"/>
        <v>80000</v>
      </c>
      <c r="F24">
        <f t="shared" si="16"/>
        <v>80000</v>
      </c>
      <c r="G24">
        <f t="shared" si="16"/>
        <v>80000</v>
      </c>
      <c r="H24">
        <f t="shared" si="16"/>
        <v>80000</v>
      </c>
      <c r="I24">
        <f t="shared" si="16"/>
        <v>80000</v>
      </c>
      <c r="J24" t="s">
        <v>128</v>
      </c>
      <c r="O24" s="33" t="s">
        <v>261</v>
      </c>
    </row>
    <row r="25" spans="2:26" x14ac:dyDescent="0.2">
      <c r="B25">
        <f t="shared" ref="B25:I25" si="17">B10/B24</f>
        <v>1.25E-3</v>
      </c>
      <c r="C25">
        <f t="shared" si="17"/>
        <v>2.5000000000000001E-3</v>
      </c>
      <c r="D25">
        <f t="shared" si="17"/>
        <v>1.6249999999999999E-3</v>
      </c>
      <c r="E25">
        <f t="shared" si="17"/>
        <v>1.6249999999999999E-3</v>
      </c>
      <c r="F25">
        <f t="shared" si="17"/>
        <v>2E-3</v>
      </c>
      <c r="G25">
        <f t="shared" si="17"/>
        <v>2.5000000000000001E-3</v>
      </c>
      <c r="H25">
        <f t="shared" si="17"/>
        <v>2.5000000000000001E-3</v>
      </c>
      <c r="I25">
        <f t="shared" si="17"/>
        <v>2.5000000000000001E-3</v>
      </c>
      <c r="J25" t="s">
        <v>132</v>
      </c>
    </row>
    <row r="26" spans="2:26" x14ac:dyDescent="0.2">
      <c r="O26" s="33" t="s">
        <v>262</v>
      </c>
      <c r="U26" t="s">
        <v>156</v>
      </c>
      <c r="V26">
        <v>26</v>
      </c>
      <c r="W26">
        <v>23</v>
      </c>
    </row>
    <row r="27" spans="2:26" x14ac:dyDescent="0.2">
      <c r="B27">
        <v>300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 t="s">
        <v>317</v>
      </c>
      <c r="M27" t="s">
        <v>292</v>
      </c>
      <c r="U27" t="s">
        <v>154</v>
      </c>
      <c r="V27">
        <v>45</v>
      </c>
      <c r="W27">
        <v>37</v>
      </c>
    </row>
    <row r="28" spans="2:26" x14ac:dyDescent="0.2">
      <c r="B28">
        <v>300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 t="s">
        <v>318</v>
      </c>
      <c r="O28" s="33" t="s">
        <v>263</v>
      </c>
      <c r="U28" t="s">
        <v>155</v>
      </c>
      <c r="V28">
        <v>8</v>
      </c>
      <c r="W28">
        <v>7</v>
      </c>
    </row>
    <row r="29" spans="2:26" x14ac:dyDescent="0.2">
      <c r="B29" s="4">
        <f>B27/2*B19</f>
        <v>675.67567567567573</v>
      </c>
      <c r="C29" s="4">
        <f>C27/2*C19</f>
        <v>1013.5135135135134</v>
      </c>
      <c r="D29" s="4">
        <f t="shared" ref="D29" si="18">D27/2*D19</f>
        <v>878.37837837837844</v>
      </c>
      <c r="E29" s="4">
        <f t="shared" ref="E29:G29" si="19">E27/2*E19</f>
        <v>658.78378378378386</v>
      </c>
      <c r="F29" s="4">
        <f t="shared" ref="F29" si="20">F27/2*F19</f>
        <v>810.81081081081084</v>
      </c>
      <c r="G29" s="4">
        <f t="shared" si="19"/>
        <v>1351.3513513513515</v>
      </c>
      <c r="H29" s="4">
        <f t="shared" ref="H29:I29" si="21">H27/2*H19</f>
        <v>1013.5135135135134</v>
      </c>
      <c r="I29" s="4">
        <f t="shared" si="21"/>
        <v>1013.5135135135134</v>
      </c>
      <c r="J29" t="s">
        <v>129</v>
      </c>
      <c r="U29" t="s">
        <v>246</v>
      </c>
      <c r="V29">
        <v>1</v>
      </c>
      <c r="W29">
        <v>1</v>
      </c>
    </row>
    <row r="30" spans="2:26" x14ac:dyDescent="0.2">
      <c r="B30">
        <f>B28*B20</f>
        <v>75</v>
      </c>
      <c r="C30">
        <f>C28*C20</f>
        <v>150</v>
      </c>
      <c r="D30">
        <f t="shared" ref="D30:G30" si="22">D28*D20</f>
        <v>97.5</v>
      </c>
      <c r="E30">
        <f t="shared" si="22"/>
        <v>97.5</v>
      </c>
      <c r="F30">
        <f t="shared" si="22"/>
        <v>120</v>
      </c>
      <c r="G30">
        <f t="shared" si="22"/>
        <v>150</v>
      </c>
      <c r="H30">
        <f>H27*H20</f>
        <v>150</v>
      </c>
      <c r="I30">
        <f>I27*I20</f>
        <v>150</v>
      </c>
      <c r="J30" t="s">
        <v>130</v>
      </c>
      <c r="O30" s="33" t="s">
        <v>264</v>
      </c>
    </row>
    <row r="31" spans="2:26" x14ac:dyDescent="0.2">
      <c r="B31" s="2">
        <f t="shared" ref="B31:I31" si="23">B27*B25</f>
        <v>0.375</v>
      </c>
      <c r="C31" s="2">
        <f t="shared" si="23"/>
        <v>0.75</v>
      </c>
      <c r="D31" s="2">
        <f t="shared" si="23"/>
        <v>0.48749999999999999</v>
      </c>
      <c r="E31" s="2">
        <f t="shared" si="23"/>
        <v>0.48749999999999999</v>
      </c>
      <c r="F31" s="2">
        <f t="shared" si="23"/>
        <v>0.6</v>
      </c>
      <c r="G31" s="2">
        <f t="shared" si="23"/>
        <v>0.75</v>
      </c>
      <c r="H31" s="2">
        <f t="shared" si="23"/>
        <v>0.75</v>
      </c>
      <c r="I31" s="2">
        <f t="shared" si="23"/>
        <v>0.75</v>
      </c>
      <c r="J31" t="s">
        <v>131</v>
      </c>
      <c r="U31" t="s">
        <v>278</v>
      </c>
      <c r="V31">
        <f>(V27-V26)/2*V28/100</f>
        <v>0.76</v>
      </c>
      <c r="W31">
        <f>(W27-W26)/2*W28/100</f>
        <v>0.49</v>
      </c>
    </row>
    <row r="32" spans="2:26" x14ac:dyDescent="0.2">
      <c r="U32" t="s">
        <v>268</v>
      </c>
      <c r="V32">
        <f>((V27-V26) + (2*V28) )/10 * V29</f>
        <v>3.5</v>
      </c>
      <c r="W32">
        <f>((W27-W26) + (2*W28) )/10</f>
        <v>2.8</v>
      </c>
    </row>
    <row r="33" spans="2:24" x14ac:dyDescent="0.2">
      <c r="B33" s="4">
        <f t="shared" ref="B33:I33" si="24">1630/660</f>
        <v>2.4696969696969697</v>
      </c>
      <c r="C33" s="4">
        <f t="shared" si="24"/>
        <v>2.4696969696969697</v>
      </c>
      <c r="D33" s="4">
        <f t="shared" si="24"/>
        <v>2.4696969696969697</v>
      </c>
      <c r="E33" s="4">
        <f t="shared" si="24"/>
        <v>2.4696969696969697</v>
      </c>
      <c r="F33" s="4">
        <f t="shared" si="24"/>
        <v>2.4696969696969697</v>
      </c>
      <c r="G33" s="4">
        <f t="shared" si="24"/>
        <v>2.4696969696969697</v>
      </c>
      <c r="H33" s="4">
        <f t="shared" si="24"/>
        <v>2.4696969696969697</v>
      </c>
      <c r="I33" s="4">
        <f t="shared" si="24"/>
        <v>2.4696969696969697</v>
      </c>
      <c r="J33" t="s">
        <v>319</v>
      </c>
      <c r="K33" t="s">
        <v>254</v>
      </c>
      <c r="U33" t="s">
        <v>269</v>
      </c>
      <c r="V33" s="5">
        <f xml:space="preserve"> PI() * V26</f>
        <v>81.681408993334628</v>
      </c>
      <c r="W33" s="5">
        <f xml:space="preserve"> PI() * W26</f>
        <v>72.256631032565238</v>
      </c>
    </row>
    <row r="34" spans="2:24" x14ac:dyDescent="0.2">
      <c r="U34" t="s">
        <v>279</v>
      </c>
      <c r="V34" s="4">
        <f>PI() * (V27-((V27-V26)/2)) /10 * V31</f>
        <v>8.4760169793852622</v>
      </c>
      <c r="W34" s="4">
        <f>PI() * (W27-((W27-W26)/2)) /10 * W31</f>
        <v>4.6181412007769955</v>
      </c>
    </row>
    <row r="35" spans="2:24" x14ac:dyDescent="0.2">
      <c r="B35" s="5">
        <f t="shared" ref="B35:I35" si="25">B29/B33</f>
        <v>273.58646990548834</v>
      </c>
      <c r="C35" s="5">
        <f t="shared" si="25"/>
        <v>410.3797048582324</v>
      </c>
      <c r="D35" s="5">
        <f t="shared" si="25"/>
        <v>355.66241087713485</v>
      </c>
      <c r="E35" s="5">
        <f t="shared" si="25"/>
        <v>266.74680815785115</v>
      </c>
      <c r="F35" s="5">
        <f t="shared" si="25"/>
        <v>328.30376388658595</v>
      </c>
      <c r="G35" s="5">
        <f t="shared" si="25"/>
        <v>547.17293981097669</v>
      </c>
      <c r="H35" s="5">
        <f t="shared" si="25"/>
        <v>410.3797048582324</v>
      </c>
      <c r="I35" s="5">
        <f t="shared" si="25"/>
        <v>410.3797048582324</v>
      </c>
      <c r="J35" t="s">
        <v>134</v>
      </c>
      <c r="O35" t="s">
        <v>286</v>
      </c>
      <c r="U35" t="s">
        <v>274</v>
      </c>
      <c r="V35">
        <f>$B17*V32 /100</f>
        <v>3.7837837837837838</v>
      </c>
      <c r="W35">
        <f>$B17*W32 /100</f>
        <v>3.0270270270270272</v>
      </c>
    </row>
    <row r="36" spans="2:24" x14ac:dyDescent="0.2">
      <c r="B36" s="5">
        <f t="shared" ref="B36:I36" si="26">B30/B33</f>
        <v>30.368098159509202</v>
      </c>
      <c r="C36" s="5">
        <f t="shared" si="26"/>
        <v>60.736196319018404</v>
      </c>
      <c r="D36" s="5">
        <f t="shared" si="26"/>
        <v>39.478527607361961</v>
      </c>
      <c r="E36" s="5">
        <f t="shared" si="26"/>
        <v>39.478527607361961</v>
      </c>
      <c r="F36" s="5">
        <f t="shared" si="26"/>
        <v>48.588957055214721</v>
      </c>
      <c r="G36" s="5">
        <f t="shared" si="26"/>
        <v>60.736196319018404</v>
      </c>
      <c r="H36" s="5">
        <f t="shared" si="26"/>
        <v>60.736196319018404</v>
      </c>
      <c r="I36" s="5">
        <f t="shared" si="26"/>
        <v>60.736196319018404</v>
      </c>
      <c r="J36" t="s">
        <v>135</v>
      </c>
      <c r="O36" t="s">
        <v>102</v>
      </c>
      <c r="P36" s="20">
        <v>1250000</v>
      </c>
      <c r="U36" t="s">
        <v>275</v>
      </c>
      <c r="V36" s="5">
        <f>V35*100 / (2.54 * 12)</f>
        <v>12.413988791941549</v>
      </c>
      <c r="W36" s="5">
        <f>W35*100 / (2.54 * 12)</f>
        <v>9.9311910335532385</v>
      </c>
    </row>
    <row r="37" spans="2:24" x14ac:dyDescent="0.2">
      <c r="O37" t="s">
        <v>287</v>
      </c>
      <c r="P37">
        <v>0.9</v>
      </c>
    </row>
    <row r="38" spans="2:24" x14ac:dyDescent="0.2">
      <c r="B38" t="s">
        <v>316</v>
      </c>
      <c r="C38" t="s">
        <v>298</v>
      </c>
      <c r="D38" t="s">
        <v>315</v>
      </c>
      <c r="E38" t="s">
        <v>316</v>
      </c>
      <c r="F38" t="s">
        <v>315</v>
      </c>
      <c r="G38" t="s">
        <v>295</v>
      </c>
      <c r="H38" t="s">
        <v>298</v>
      </c>
      <c r="I38" t="s">
        <v>298</v>
      </c>
      <c r="K38" s="18" t="s">
        <v>309</v>
      </c>
      <c r="M38" s="2">
        <v>14.8</v>
      </c>
      <c r="U38" t="s">
        <v>276</v>
      </c>
      <c r="V38" s="5">
        <f>V36*3</f>
        <v>37.241966375824646</v>
      </c>
      <c r="W38" s="5">
        <f>W36*3</f>
        <v>29.793573100659714</v>
      </c>
      <c r="X38" t="s">
        <v>280</v>
      </c>
    </row>
    <row r="39" spans="2:24" x14ac:dyDescent="0.2">
      <c r="B39" t="s">
        <v>294</v>
      </c>
      <c r="C39" t="s">
        <v>294</v>
      </c>
      <c r="D39" t="s">
        <v>294</v>
      </c>
      <c r="E39" t="s">
        <v>294</v>
      </c>
      <c r="F39" t="s">
        <v>294</v>
      </c>
      <c r="G39" t="s">
        <v>294</v>
      </c>
      <c r="H39" t="s">
        <v>294</v>
      </c>
      <c r="I39" t="s">
        <v>294</v>
      </c>
      <c r="K39">
        <v>6</v>
      </c>
      <c r="L39" t="s">
        <v>305</v>
      </c>
      <c r="M39" s="2"/>
      <c r="O39" t="s">
        <v>288</v>
      </c>
      <c r="P39" s="5">
        <f>3/(0.01*(1-P37))</f>
        <v>3000.0000000000005</v>
      </c>
      <c r="Q39" t="s">
        <v>277</v>
      </c>
      <c r="T39">
        <v>1.5</v>
      </c>
      <c r="U39" t="s">
        <v>284</v>
      </c>
      <c r="V39" s="5">
        <f>V35*100/(PI() * $T39)</f>
        <v>80.294385704019277</v>
      </c>
      <c r="W39" s="5">
        <f>W35*100/(PI() * $T39)</f>
        <v>64.235508563215419</v>
      </c>
      <c r="X39" t="s">
        <v>84</v>
      </c>
    </row>
    <row r="40" spans="2:24" x14ac:dyDescent="0.2">
      <c r="K40">
        <v>24</v>
      </c>
      <c r="L40" t="s">
        <v>306</v>
      </c>
      <c r="M40" s="2">
        <f>(K40*K41)/(K39/2)</f>
        <v>32</v>
      </c>
      <c r="O40" t="s">
        <v>289</v>
      </c>
      <c r="P40" s="35">
        <f>(1.6*P37)/(P39*P36)</f>
        <v>3.8400000000000002E-10</v>
      </c>
      <c r="Q40" t="s">
        <v>290</v>
      </c>
    </row>
    <row r="41" spans="2:24" x14ac:dyDescent="0.2">
      <c r="K41">
        <v>4</v>
      </c>
      <c r="L41" t="s">
        <v>301</v>
      </c>
      <c r="M41" s="2"/>
      <c r="W41" s="4">
        <f>W39*R15</f>
        <v>1.6701232226436009</v>
      </c>
      <c r="X41" t="s">
        <v>285</v>
      </c>
    </row>
    <row r="42" spans="2:24" x14ac:dyDescent="0.2">
      <c r="J42" s="36"/>
      <c r="K42">
        <v>1</v>
      </c>
      <c r="L42" t="s">
        <v>302</v>
      </c>
      <c r="M42" s="2"/>
    </row>
    <row r="43" spans="2:24" x14ac:dyDescent="0.2">
      <c r="K43" t="s">
        <v>303</v>
      </c>
      <c r="L43" t="s">
        <v>304</v>
      </c>
      <c r="M43" s="2">
        <f>M38*M40</f>
        <v>473.6</v>
      </c>
      <c r="O43" t="s">
        <v>286</v>
      </c>
    </row>
    <row r="44" spans="2:24" x14ac:dyDescent="0.2">
      <c r="K44">
        <v>4.8000000000000001E-2</v>
      </c>
      <c r="L44">
        <v>1.9E-2</v>
      </c>
      <c r="M44" s="2"/>
      <c r="O44" t="s">
        <v>102</v>
      </c>
      <c r="P44" s="20">
        <v>1200000</v>
      </c>
      <c r="S44" t="s">
        <v>288</v>
      </c>
      <c r="T44">
        <v>5000</v>
      </c>
      <c r="U44" t="s">
        <v>277</v>
      </c>
    </row>
    <row r="45" spans="2:24" x14ac:dyDescent="0.2">
      <c r="K45">
        <f>K44*25.4</f>
        <v>1.2192000000000001</v>
      </c>
      <c r="L45">
        <f>L44*25.4</f>
        <v>0.48259999999999997</v>
      </c>
      <c r="M45" s="2"/>
      <c r="O45" t="s">
        <v>287</v>
      </c>
      <c r="P45">
        <v>0.88</v>
      </c>
      <c r="S45" t="s">
        <v>289</v>
      </c>
      <c r="T45" s="20">
        <v>3.9E-10</v>
      </c>
      <c r="U45" t="s">
        <v>290</v>
      </c>
    </row>
    <row r="46" spans="2:24" x14ac:dyDescent="0.2">
      <c r="K46">
        <f>K45*K42</f>
        <v>1.2192000000000001</v>
      </c>
      <c r="L46">
        <f>L45*K41</f>
        <v>1.9303999999999999</v>
      </c>
      <c r="M46" s="2"/>
      <c r="S46" t="s">
        <v>287</v>
      </c>
      <c r="T46" s="2">
        <f>1-(300/T44)</f>
        <v>0.94</v>
      </c>
      <c r="U46" t="s">
        <v>291</v>
      </c>
    </row>
    <row r="47" spans="2:24" x14ac:dyDescent="0.2">
      <c r="J47">
        <f>MAX(K47,L47)</f>
        <v>0.45599999999999996</v>
      </c>
      <c r="K47">
        <f>K39*K44</f>
        <v>0.28800000000000003</v>
      </c>
      <c r="L47">
        <f>K40*L44</f>
        <v>0.45599999999999996</v>
      </c>
      <c r="M47" s="2"/>
      <c r="O47" t="s">
        <v>288</v>
      </c>
      <c r="P47" s="5">
        <f>3/(0.01*(1-P45))</f>
        <v>2500</v>
      </c>
      <c r="Q47" t="s">
        <v>277</v>
      </c>
      <c r="S47" t="s">
        <v>102</v>
      </c>
      <c r="T47" s="20">
        <f xml:space="preserve"> (1.6*T46)/(T44*T45)</f>
        <v>771282.05128205125</v>
      </c>
      <c r="U47" t="s">
        <v>63</v>
      </c>
      <c r="V47" s="5">
        <f>1/T47*(1-T46)*1000000000</f>
        <v>77.792553191489432</v>
      </c>
      <c r="W47" t="s">
        <v>308</v>
      </c>
    </row>
    <row r="48" spans="2:24" x14ac:dyDescent="0.2">
      <c r="J48">
        <f>K48+L48</f>
        <v>0.124</v>
      </c>
      <c r="K48">
        <f>K42*K44</f>
        <v>4.8000000000000001E-2</v>
      </c>
      <c r="L48">
        <f>K41*L44</f>
        <v>7.5999999999999998E-2</v>
      </c>
      <c r="M48" s="2"/>
      <c r="O48" t="s">
        <v>289</v>
      </c>
      <c r="P48" s="35">
        <f>(1.6*P45)/(P47*P44)</f>
        <v>4.6933333333333337E-10</v>
      </c>
      <c r="Q48" t="s">
        <v>290</v>
      </c>
      <c r="T48" s="5">
        <f>1/T47*1000000000</f>
        <v>1296.5425531914896</v>
      </c>
      <c r="U48" t="s">
        <v>307</v>
      </c>
    </row>
    <row r="49" spans="10:23" x14ac:dyDescent="0.2">
      <c r="M49" s="2"/>
    </row>
    <row r="50" spans="10:23" x14ac:dyDescent="0.2">
      <c r="J50">
        <f>K50/25.4</f>
        <v>0.45600000000000002</v>
      </c>
      <c r="K50">
        <f>MAX(K39*K45,K40*L45)</f>
        <v>11.5824</v>
      </c>
      <c r="L50" t="s">
        <v>299</v>
      </c>
      <c r="M50" s="2"/>
    </row>
    <row r="51" spans="10:23" x14ac:dyDescent="0.2">
      <c r="J51">
        <f>K51/25.4</f>
        <v>0.124</v>
      </c>
      <c r="K51">
        <f>K46+L46</f>
        <v>3.1496</v>
      </c>
      <c r="L51" t="s">
        <v>300</v>
      </c>
      <c r="M51" s="2"/>
      <c r="O51" t="s">
        <v>288</v>
      </c>
      <c r="P51">
        <v>2500</v>
      </c>
      <c r="Q51" t="s">
        <v>277</v>
      </c>
      <c r="S51" t="s">
        <v>288</v>
      </c>
      <c r="T51">
        <v>3500</v>
      </c>
      <c r="U51" t="s">
        <v>277</v>
      </c>
    </row>
    <row r="52" spans="10:23" x14ac:dyDescent="0.2">
      <c r="M52" s="2"/>
      <c r="O52" t="s">
        <v>289</v>
      </c>
      <c r="P52" s="20">
        <v>4.7000000000000003E-10</v>
      </c>
      <c r="Q52" t="s">
        <v>290</v>
      </c>
      <c r="S52" t="s">
        <v>289</v>
      </c>
      <c r="T52" s="20">
        <v>3.9E-10</v>
      </c>
      <c r="U52" t="s">
        <v>290</v>
      </c>
    </row>
    <row r="53" spans="10:23" x14ac:dyDescent="0.2">
      <c r="M53" s="2"/>
      <c r="O53" t="s">
        <v>287</v>
      </c>
      <c r="P53" s="2">
        <f>1-(300/P51)</f>
        <v>0.88</v>
      </c>
      <c r="Q53" t="s">
        <v>291</v>
      </c>
      <c r="S53" t="s">
        <v>287</v>
      </c>
      <c r="T53" s="2">
        <f>1-(300/T51)</f>
        <v>0.91428571428571426</v>
      </c>
      <c r="U53" t="s">
        <v>291</v>
      </c>
    </row>
    <row r="54" spans="10:23" x14ac:dyDescent="0.2">
      <c r="K54">
        <v>0.70699999999999996</v>
      </c>
      <c r="M54" s="2"/>
      <c r="O54" t="s">
        <v>102</v>
      </c>
      <c r="P54" s="20">
        <f xml:space="preserve"> (1.6*P53)/(P51*P52)</f>
        <v>1198297.8723404256</v>
      </c>
      <c r="Q54" t="s">
        <v>63</v>
      </c>
      <c r="S54" t="s">
        <v>102</v>
      </c>
      <c r="T54" s="20">
        <f xml:space="preserve"> (1.6*T53)/(T51*T52)</f>
        <v>1071690.2145473573</v>
      </c>
      <c r="U54" t="s">
        <v>63</v>
      </c>
      <c r="V54" s="5">
        <f>1/T54*(1-T53)*1000000000</f>
        <v>79.980468750000043</v>
      </c>
      <c r="W54" t="s">
        <v>308</v>
      </c>
    </row>
    <row r="55" spans="10:23" x14ac:dyDescent="0.2">
      <c r="K55">
        <v>0.42699999999999999</v>
      </c>
      <c r="M55" s="2"/>
      <c r="T55" s="5">
        <f>1/T54*1000000000</f>
        <v>933.10546875000011</v>
      </c>
      <c r="U55" t="s">
        <v>307</v>
      </c>
    </row>
    <row r="56" spans="10:23" x14ac:dyDescent="0.2">
      <c r="K56">
        <f>K54-K55</f>
        <v>0.27999999999999997</v>
      </c>
      <c r="M56" s="2"/>
    </row>
    <row r="57" spans="10:23" x14ac:dyDescent="0.2">
      <c r="K57">
        <f>K56/2</f>
        <v>0.13999999999999999</v>
      </c>
      <c r="M57" s="2"/>
      <c r="O57" t="s">
        <v>288</v>
      </c>
      <c r="P57">
        <v>2700</v>
      </c>
      <c r="Q57" t="s">
        <v>277</v>
      </c>
      <c r="S57" t="s">
        <v>288</v>
      </c>
      <c r="T57">
        <v>3000</v>
      </c>
      <c r="U57" t="s">
        <v>277</v>
      </c>
    </row>
    <row r="58" spans="10:23" x14ac:dyDescent="0.2">
      <c r="M58" s="2"/>
      <c r="O58" t="s">
        <v>289</v>
      </c>
      <c r="P58" s="20">
        <v>4.7000000000000003E-10</v>
      </c>
      <c r="Q58" t="s">
        <v>290</v>
      </c>
      <c r="S58" t="s">
        <v>289</v>
      </c>
      <c r="T58" s="20">
        <v>3.9E-10</v>
      </c>
      <c r="U58" t="s">
        <v>290</v>
      </c>
    </row>
    <row r="59" spans="10:23" x14ac:dyDescent="0.2">
      <c r="K59" s="18" t="s">
        <v>310</v>
      </c>
      <c r="M59" s="2">
        <v>14.8</v>
      </c>
      <c r="O59" t="s">
        <v>287</v>
      </c>
      <c r="P59" s="2">
        <f>1-(300/P57)</f>
        <v>0.88888888888888884</v>
      </c>
      <c r="Q59" t="s">
        <v>291</v>
      </c>
      <c r="S59" t="s">
        <v>287</v>
      </c>
      <c r="T59" s="2">
        <f>1-(300/T57)</f>
        <v>0.9</v>
      </c>
      <c r="U59" t="s">
        <v>291</v>
      </c>
    </row>
    <row r="60" spans="10:23" x14ac:dyDescent="0.2">
      <c r="K60">
        <v>6</v>
      </c>
      <c r="L60" t="s">
        <v>305</v>
      </c>
      <c r="M60" s="2"/>
      <c r="O60" t="s">
        <v>102</v>
      </c>
      <c r="P60" s="20">
        <f xml:space="preserve"> (1.6*P59)/(P57*P58)</f>
        <v>1120742.4919008843</v>
      </c>
      <c r="Q60" t="s">
        <v>63</v>
      </c>
      <c r="S60" t="s">
        <v>102</v>
      </c>
      <c r="T60" s="20">
        <f xml:space="preserve"> (1.6*T59)/(T57*T58)</f>
        <v>1230769.230769231</v>
      </c>
      <c r="U60" t="s">
        <v>63</v>
      </c>
      <c r="V60" s="5">
        <f>1/T60*(1-T59)*1000000000</f>
        <v>81.249999999999957</v>
      </c>
      <c r="W60" t="s">
        <v>308</v>
      </c>
    </row>
    <row r="61" spans="10:23" x14ac:dyDescent="0.2">
      <c r="K61">
        <v>18</v>
      </c>
      <c r="L61" t="s">
        <v>306</v>
      </c>
      <c r="M61" s="2">
        <f>(K61*K62)/(K60/2)</f>
        <v>30</v>
      </c>
      <c r="T61" s="5">
        <f>1/T60*1000000000</f>
        <v>812.49999999999989</v>
      </c>
      <c r="U61" t="s">
        <v>307</v>
      </c>
    </row>
    <row r="62" spans="10:23" x14ac:dyDescent="0.2">
      <c r="K62">
        <v>5</v>
      </c>
      <c r="L62" t="s">
        <v>301</v>
      </c>
      <c r="M62" s="2"/>
    </row>
    <row r="63" spans="10:23" x14ac:dyDescent="0.2">
      <c r="J63" s="36"/>
      <c r="K63">
        <v>1</v>
      </c>
      <c r="L63" t="s">
        <v>302</v>
      </c>
      <c r="M63" s="2"/>
      <c r="O63" t="s">
        <v>288</v>
      </c>
      <c r="P63">
        <v>3000</v>
      </c>
      <c r="Q63" t="s">
        <v>277</v>
      </c>
      <c r="S63" t="s">
        <v>288</v>
      </c>
      <c r="T63">
        <v>2500</v>
      </c>
      <c r="U63" t="s">
        <v>277</v>
      </c>
    </row>
    <row r="64" spans="10:23" x14ac:dyDescent="0.2">
      <c r="K64" t="s">
        <v>303</v>
      </c>
      <c r="L64" t="s">
        <v>304</v>
      </c>
      <c r="M64" s="2">
        <f>M59*M61</f>
        <v>444</v>
      </c>
      <c r="O64" t="s">
        <v>289</v>
      </c>
      <c r="P64" s="20">
        <v>4.7000000000000003E-10</v>
      </c>
      <c r="Q64" t="s">
        <v>290</v>
      </c>
      <c r="S64" t="s">
        <v>289</v>
      </c>
      <c r="T64" s="20">
        <v>3.9E-10</v>
      </c>
      <c r="U64" t="s">
        <v>290</v>
      </c>
    </row>
    <row r="65" spans="10:23" x14ac:dyDescent="0.2">
      <c r="K65">
        <v>4.2000000000000003E-2</v>
      </c>
      <c r="L65">
        <v>1.7000000000000001E-2</v>
      </c>
      <c r="M65" s="2"/>
      <c r="O65" t="s">
        <v>287</v>
      </c>
      <c r="P65" s="2">
        <f>1-(300/P63)</f>
        <v>0.9</v>
      </c>
      <c r="Q65" t="s">
        <v>291</v>
      </c>
      <c r="S65" t="s">
        <v>287</v>
      </c>
      <c r="T65" s="2">
        <f>1-(300/T63)</f>
        <v>0.88</v>
      </c>
      <c r="U65" t="s">
        <v>291</v>
      </c>
    </row>
    <row r="66" spans="10:23" x14ac:dyDescent="0.2">
      <c r="K66">
        <f>K65*25.4</f>
        <v>1.0668</v>
      </c>
      <c r="L66">
        <f>L65*25.4</f>
        <v>0.43180000000000002</v>
      </c>
      <c r="M66" s="2"/>
      <c r="O66" t="s">
        <v>102</v>
      </c>
      <c r="P66" s="20">
        <f xml:space="preserve"> (1.6*P65)/(P63*P64)</f>
        <v>1021276.595744681</v>
      </c>
      <c r="Q66" t="s">
        <v>63</v>
      </c>
      <c r="S66" t="s">
        <v>102</v>
      </c>
      <c r="T66" s="20">
        <f xml:space="preserve"> (1.6*T65)/(T63*T64)</f>
        <v>1444102.5641025642</v>
      </c>
      <c r="U66" t="s">
        <v>63</v>
      </c>
      <c r="V66" s="5">
        <f>1/T66*(1-T65)*1000000000</f>
        <v>83.096590909090892</v>
      </c>
      <c r="W66" t="s">
        <v>308</v>
      </c>
    </row>
    <row r="67" spans="10:23" x14ac:dyDescent="0.2">
      <c r="K67">
        <f>K66*K63</f>
        <v>1.0668</v>
      </c>
      <c r="L67">
        <f>L66*K62</f>
        <v>2.1590000000000003</v>
      </c>
      <c r="M67" s="2"/>
      <c r="T67" s="5">
        <f>1/T66*1000000000</f>
        <v>692.47159090909076</v>
      </c>
      <c r="U67" t="s">
        <v>307</v>
      </c>
    </row>
    <row r="68" spans="10:23" x14ac:dyDescent="0.2">
      <c r="J68">
        <f>MAX(K68,L68)</f>
        <v>0.30600000000000005</v>
      </c>
      <c r="K68">
        <f>K60*K65</f>
        <v>0.252</v>
      </c>
      <c r="L68">
        <f>K61*L65</f>
        <v>0.30600000000000005</v>
      </c>
      <c r="M68" s="2"/>
    </row>
    <row r="69" spans="10:23" x14ac:dyDescent="0.2">
      <c r="J69">
        <f>K69+L69</f>
        <v>0.127</v>
      </c>
      <c r="K69">
        <f>K63*K65</f>
        <v>4.2000000000000003E-2</v>
      </c>
      <c r="L69">
        <f>K62*L65</f>
        <v>8.5000000000000006E-2</v>
      </c>
      <c r="M69" s="2"/>
      <c r="O69" t="s">
        <v>288</v>
      </c>
      <c r="P69">
        <v>2200</v>
      </c>
      <c r="Q69" t="s">
        <v>277</v>
      </c>
    </row>
    <row r="70" spans="10:23" x14ac:dyDescent="0.2">
      <c r="M70" s="2"/>
      <c r="O70" t="s">
        <v>289</v>
      </c>
      <c r="P70" s="20">
        <v>4.7000000000000003E-10</v>
      </c>
      <c r="Q70" t="s">
        <v>290</v>
      </c>
    </row>
    <row r="71" spans="10:23" x14ac:dyDescent="0.2">
      <c r="J71">
        <f>K71/25.4</f>
        <v>0.30600000000000005</v>
      </c>
      <c r="K71">
        <f>MAX(K60*K66,K61*L66)</f>
        <v>7.7724000000000002</v>
      </c>
      <c r="L71" t="s">
        <v>299</v>
      </c>
      <c r="M71" s="2"/>
      <c r="O71" t="s">
        <v>287</v>
      </c>
      <c r="P71" s="2">
        <f>1-(300/P69)</f>
        <v>0.86363636363636365</v>
      </c>
      <c r="Q71" t="s">
        <v>291</v>
      </c>
    </row>
    <row r="72" spans="10:23" x14ac:dyDescent="0.2">
      <c r="J72">
        <f>K72/25.4</f>
        <v>0.12700000000000003</v>
      </c>
      <c r="K72">
        <f>K67+L67</f>
        <v>3.2258000000000004</v>
      </c>
      <c r="L72" t="s">
        <v>300</v>
      </c>
      <c r="M72" s="2"/>
      <c r="O72" t="s">
        <v>102</v>
      </c>
      <c r="P72" s="20">
        <f xml:space="preserve"> (1.6*P71)/(P69*P70)</f>
        <v>1336381.2203270618</v>
      </c>
      <c r="Q72" t="s">
        <v>63</v>
      </c>
      <c r="R72" s="5">
        <f>1/P72*(1-P71)*1000000000</f>
        <v>102.03947368421052</v>
      </c>
      <c r="S72" t="s">
        <v>308</v>
      </c>
    </row>
    <row r="74" spans="10:23" x14ac:dyDescent="0.2">
      <c r="P74" s="20">
        <f>P71/P72</f>
        <v>6.4624999999999995E-7</v>
      </c>
    </row>
    <row r="75" spans="10:23" x14ac:dyDescent="0.2">
      <c r="K75">
        <v>0.70699999999999996</v>
      </c>
      <c r="L75" t="s">
        <v>313</v>
      </c>
    </row>
    <row r="76" spans="10:23" x14ac:dyDescent="0.2">
      <c r="K76">
        <v>0.42699999999999999</v>
      </c>
      <c r="L76" t="s">
        <v>314</v>
      </c>
    </row>
    <row r="77" spans="10:23" x14ac:dyDescent="0.2">
      <c r="K77">
        <f>K75-K76</f>
        <v>0.27999999999999997</v>
      </c>
      <c r="L77" t="s">
        <v>311</v>
      </c>
    </row>
    <row r="78" spans="10:23" x14ac:dyDescent="0.2">
      <c r="K78">
        <f>K77/2</f>
        <v>0.13999999999999999</v>
      </c>
      <c r="L78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206</v>
      </c>
    </row>
    <row r="6" spans="3:11" x14ac:dyDescent="0.2">
      <c r="C6" t="s">
        <v>207</v>
      </c>
      <c r="H6" t="s">
        <v>185</v>
      </c>
      <c r="I6" t="s">
        <v>201</v>
      </c>
    </row>
    <row r="7" spans="3:11" ht="19" x14ac:dyDescent="0.25">
      <c r="C7" s="26" t="s">
        <v>192</v>
      </c>
      <c r="D7" s="26">
        <v>30</v>
      </c>
      <c r="E7" s="27" t="s">
        <v>193</v>
      </c>
      <c r="H7">
        <v>30</v>
      </c>
      <c r="I7">
        <v>0</v>
      </c>
    </row>
    <row r="8" spans="3:11" ht="19" x14ac:dyDescent="0.25">
      <c r="C8" s="26" t="s">
        <v>194</v>
      </c>
      <c r="D8" s="26">
        <v>0.30099999999999999</v>
      </c>
      <c r="E8" s="27" t="s">
        <v>133</v>
      </c>
      <c r="H8">
        <v>40</v>
      </c>
      <c r="I8">
        <v>100</v>
      </c>
    </row>
    <row r="9" spans="3:11" ht="19" x14ac:dyDescent="0.25">
      <c r="C9" s="28" t="s">
        <v>195</v>
      </c>
      <c r="D9" s="28">
        <v>21</v>
      </c>
      <c r="E9" s="27" t="s">
        <v>133</v>
      </c>
      <c r="H9">
        <v>50</v>
      </c>
      <c r="I9">
        <f>I10-I8</f>
        <v>200</v>
      </c>
    </row>
    <row r="10" spans="3:11" ht="19" x14ac:dyDescent="0.25">
      <c r="C10" s="28" t="s">
        <v>196</v>
      </c>
      <c r="D10" s="28">
        <v>2.5000000000000001E-2</v>
      </c>
      <c r="E10" s="27" t="s">
        <v>133</v>
      </c>
      <c r="H10">
        <v>60</v>
      </c>
      <c r="I10">
        <v>300</v>
      </c>
      <c r="J10">
        <f>I9/H9</f>
        <v>4</v>
      </c>
      <c r="K10" t="s">
        <v>204</v>
      </c>
    </row>
    <row r="11" spans="3:11" ht="19" x14ac:dyDescent="0.25">
      <c r="C11" s="29" t="s">
        <v>9</v>
      </c>
      <c r="D11" s="30">
        <f>D7*(1+(D8/SQRT(D10)))</f>
        <v>87.110734542640927</v>
      </c>
      <c r="E11" s="27" t="s">
        <v>193</v>
      </c>
      <c r="H11" t="s">
        <v>184</v>
      </c>
      <c r="I11" t="s">
        <v>201</v>
      </c>
    </row>
    <row r="12" spans="3:11" ht="19" x14ac:dyDescent="0.25">
      <c r="C12" s="29" t="s">
        <v>197</v>
      </c>
      <c r="D12" s="30">
        <f>D11*D10*LOG(D9/D10,2.718)</f>
        <v>14.665310181214844</v>
      </c>
      <c r="E12" s="27" t="s">
        <v>198</v>
      </c>
      <c r="H12">
        <v>0.1</v>
      </c>
      <c r="I12">
        <v>200</v>
      </c>
      <c r="J12">
        <f>I12/H12</f>
        <v>2000</v>
      </c>
      <c r="K12" t="s">
        <v>205</v>
      </c>
    </row>
    <row r="14" spans="3:11" x14ac:dyDescent="0.2">
      <c r="C14" t="s">
        <v>208</v>
      </c>
      <c r="H14" t="s">
        <v>121</v>
      </c>
    </row>
    <row r="15" spans="3:11" ht="19" x14ac:dyDescent="0.25">
      <c r="C15" s="26" t="s">
        <v>192</v>
      </c>
      <c r="D15" s="26">
        <v>30</v>
      </c>
      <c r="E15" s="27" t="s">
        <v>193</v>
      </c>
      <c r="H15">
        <f>H12*H9</f>
        <v>5</v>
      </c>
      <c r="I15">
        <v>200</v>
      </c>
      <c r="J15">
        <f>I15/H15</f>
        <v>40</v>
      </c>
      <c r="K15" t="s">
        <v>203</v>
      </c>
    </row>
    <row r="16" spans="3:11" ht="19" x14ac:dyDescent="0.25">
      <c r="C16" s="26" t="s">
        <v>194</v>
      </c>
      <c r="D16" s="26">
        <v>0.30099999999999999</v>
      </c>
      <c r="E16" s="27" t="s">
        <v>133</v>
      </c>
    </row>
    <row r="17" spans="3:10" ht="19" x14ac:dyDescent="0.25">
      <c r="C17" s="28" t="s">
        <v>195</v>
      </c>
      <c r="D17" s="28">
        <v>21</v>
      </c>
      <c r="E17" s="27" t="s">
        <v>133</v>
      </c>
    </row>
    <row r="18" spans="3:10" ht="19" x14ac:dyDescent="0.25">
      <c r="C18" s="28" t="s">
        <v>196</v>
      </c>
      <c r="D18" s="28">
        <v>0.6</v>
      </c>
      <c r="E18" s="27" t="s">
        <v>133</v>
      </c>
    </row>
    <row r="19" spans="3:10" ht="19" x14ac:dyDescent="0.25">
      <c r="C19" s="29" t="s">
        <v>9</v>
      </c>
      <c r="D19" s="30">
        <f>D15*(1+(D16/SQRT(D18)))</f>
        <v>41.657679872084323</v>
      </c>
      <c r="E19" s="27" t="s">
        <v>193</v>
      </c>
    </row>
    <row r="20" spans="3:10" ht="19" x14ac:dyDescent="0.25">
      <c r="C20" s="29" t="s">
        <v>197</v>
      </c>
      <c r="D20" s="30">
        <f>D19*D18*LOG(D17/D18,2.718)</f>
        <v>88.87374563714863</v>
      </c>
      <c r="E20" s="27" t="s">
        <v>198</v>
      </c>
      <c r="H20" t="s">
        <v>202</v>
      </c>
      <c r="I20" s="4">
        <f>D12*2</f>
        <v>29.330620362429688</v>
      </c>
      <c r="J20" t="s">
        <v>185</v>
      </c>
    </row>
    <row r="21" spans="3:10" x14ac:dyDescent="0.2">
      <c r="H21" t="s">
        <v>199</v>
      </c>
      <c r="I21" s="4">
        <f>D28</f>
        <v>205.59078000666895</v>
      </c>
      <c r="J21" t="s">
        <v>185</v>
      </c>
    </row>
    <row r="22" spans="3:10" x14ac:dyDescent="0.2">
      <c r="C22" t="s">
        <v>209</v>
      </c>
      <c r="H22" t="s">
        <v>200</v>
      </c>
      <c r="I22">
        <v>4</v>
      </c>
      <c r="J22" t="s">
        <v>204</v>
      </c>
    </row>
    <row r="23" spans="3:10" ht="19" x14ac:dyDescent="0.25">
      <c r="C23" s="26" t="s">
        <v>192</v>
      </c>
      <c r="D23" s="26">
        <v>30</v>
      </c>
      <c r="E23" s="27" t="s">
        <v>193</v>
      </c>
    </row>
    <row r="24" spans="3:10" ht="19" x14ac:dyDescent="0.25">
      <c r="C24" s="26" t="s">
        <v>194</v>
      </c>
      <c r="D24" s="26">
        <v>0.30099999999999999</v>
      </c>
      <c r="E24" s="27" t="s">
        <v>133</v>
      </c>
    </row>
    <row r="25" spans="3:10" ht="19" x14ac:dyDescent="0.25">
      <c r="C25" s="28" t="s">
        <v>195</v>
      </c>
      <c r="D25" s="28">
        <v>25</v>
      </c>
      <c r="E25" s="27" t="s">
        <v>133</v>
      </c>
      <c r="H25" t="s">
        <v>214</v>
      </c>
      <c r="I25" t="s">
        <v>147</v>
      </c>
    </row>
    <row r="26" spans="3:10" ht="19" x14ac:dyDescent="0.25">
      <c r="C26" s="28" t="s">
        <v>196</v>
      </c>
      <c r="D26" s="28">
        <v>2.5</v>
      </c>
      <c r="E26" s="27" t="s">
        <v>133</v>
      </c>
      <c r="H26" t="s">
        <v>211</v>
      </c>
      <c r="I26">
        <v>0.127</v>
      </c>
    </row>
    <row r="27" spans="3:10" ht="19" x14ac:dyDescent="0.25">
      <c r="C27" s="29" t="s">
        <v>9</v>
      </c>
      <c r="D27" s="30">
        <f>D23*(1+(D24/SQRT(D26)))</f>
        <v>35.711073454264096</v>
      </c>
      <c r="E27" s="27" t="s">
        <v>193</v>
      </c>
      <c r="H27" t="s">
        <v>212</v>
      </c>
      <c r="I27">
        <v>0.25459999999999999</v>
      </c>
    </row>
    <row r="28" spans="3:10" ht="19" x14ac:dyDescent="0.25">
      <c r="C28" s="29" t="s">
        <v>197</v>
      </c>
      <c r="D28" s="30">
        <f>D27*D26*LOG(D25/D26,2.718)</f>
        <v>205.59078000666895</v>
      </c>
      <c r="E28" s="27" t="s">
        <v>198</v>
      </c>
      <c r="H28" t="s">
        <v>213</v>
      </c>
      <c r="I28">
        <v>0.3211</v>
      </c>
    </row>
    <row r="29" spans="3:10" x14ac:dyDescent="0.2">
      <c r="H29" t="s">
        <v>141</v>
      </c>
      <c r="I29">
        <v>0.40400000000000003</v>
      </c>
    </row>
    <row r="30" spans="3:10" x14ac:dyDescent="0.2">
      <c r="C30" t="s">
        <v>210</v>
      </c>
      <c r="H30" t="s">
        <v>171</v>
      </c>
      <c r="I30">
        <v>0.51</v>
      </c>
    </row>
    <row r="31" spans="3:10" ht="19" x14ac:dyDescent="0.25">
      <c r="C31" s="26" t="s">
        <v>192</v>
      </c>
      <c r="D31" s="26">
        <v>30</v>
      </c>
      <c r="E31" s="27" t="s">
        <v>193</v>
      </c>
      <c r="H31" t="s">
        <v>215</v>
      </c>
      <c r="I31">
        <v>0.64380000000000004</v>
      </c>
    </row>
    <row r="32" spans="3:10" ht="19" x14ac:dyDescent="0.25">
      <c r="C32" s="26" t="s">
        <v>194</v>
      </c>
      <c r="D32" s="26">
        <v>0.30099999999999999</v>
      </c>
      <c r="E32" s="27" t="s">
        <v>133</v>
      </c>
    </row>
    <row r="33" spans="3:22" ht="19" x14ac:dyDescent="0.25">
      <c r="C33" s="28" t="s">
        <v>195</v>
      </c>
      <c r="D33" s="28">
        <v>25</v>
      </c>
      <c r="E33" s="27" t="s">
        <v>133</v>
      </c>
      <c r="J33" t="s">
        <v>216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8" t="s">
        <v>196</v>
      </c>
      <c r="D34" s="28">
        <v>5</v>
      </c>
      <c r="E34" s="27" t="s">
        <v>133</v>
      </c>
      <c r="J34" t="s">
        <v>223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9" t="s">
        <v>9</v>
      </c>
      <c r="D35" s="30">
        <f>D31*(1+(D32/SQRT(D34)))</f>
        <v>34.038338767364621</v>
      </c>
      <c r="E35" s="27" t="s">
        <v>193</v>
      </c>
      <c r="J35" t="s">
        <v>219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9" t="s">
        <v>197</v>
      </c>
      <c r="D36" s="30">
        <f>D35*D34*LOG(D33/D34,2.718)</f>
        <v>273.94136785339589</v>
      </c>
      <c r="E36" s="27" t="s">
        <v>198</v>
      </c>
      <c r="J36" t="s">
        <v>220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217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210</v>
      </c>
      <c r="J38" t="s">
        <v>218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6" t="s">
        <v>192</v>
      </c>
      <c r="D39" s="26">
        <v>30</v>
      </c>
      <c r="E39" s="27" t="s">
        <v>193</v>
      </c>
      <c r="J39" t="s">
        <v>221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6" t="s">
        <v>194</v>
      </c>
      <c r="D40" s="26">
        <v>0.30099999999999999</v>
      </c>
      <c r="E40" s="27" t="s">
        <v>133</v>
      </c>
      <c r="J40" t="s">
        <v>222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8" t="s">
        <v>195</v>
      </c>
      <c r="D41" s="28">
        <v>25</v>
      </c>
      <c r="E41" s="27" t="s">
        <v>133</v>
      </c>
    </row>
    <row r="42" spans="3:22" ht="19" x14ac:dyDescent="0.25">
      <c r="C42" s="28" t="s">
        <v>196</v>
      </c>
      <c r="D42" s="28">
        <v>1</v>
      </c>
      <c r="E42" s="27" t="s">
        <v>133</v>
      </c>
      <c r="J42" t="s">
        <v>244</v>
      </c>
    </row>
    <row r="43" spans="3:22" ht="19" x14ac:dyDescent="0.25">
      <c r="C43" s="29" t="s">
        <v>9</v>
      </c>
      <c r="D43" s="30">
        <f>D39*(1+(D40/SQRT(D42)))</f>
        <v>39.03</v>
      </c>
      <c r="E43" s="27" t="s">
        <v>193</v>
      </c>
      <c r="I43" s="31" t="s">
        <v>246</v>
      </c>
      <c r="J43" t="s">
        <v>216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9" t="s">
        <v>197</v>
      </c>
      <c r="D44" s="30">
        <f>D43*D42*LOG(D41/D42,2.718)</f>
        <v>125.64575093270162</v>
      </c>
      <c r="E44" s="27" t="s">
        <v>198</v>
      </c>
      <c r="J44" t="s">
        <v>247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31">
        <v>1.4</v>
      </c>
      <c r="J45" t="s">
        <v>223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245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242</v>
      </c>
      <c r="J47" t="s">
        <v>248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6" t="s">
        <v>192</v>
      </c>
      <c r="D48" s="26">
        <v>30</v>
      </c>
      <c r="E48" s="27" t="s">
        <v>193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6" t="s">
        <v>194</v>
      </c>
      <c r="D49" s="26">
        <v>0.30099999999999999</v>
      </c>
      <c r="E49" s="27" t="s">
        <v>133</v>
      </c>
    </row>
    <row r="50" spans="3:5" ht="19" x14ac:dyDescent="0.25">
      <c r="C50" s="28" t="s">
        <v>195</v>
      </c>
      <c r="D50" s="28">
        <v>3.7</v>
      </c>
      <c r="E50" s="27" t="s">
        <v>133</v>
      </c>
    </row>
    <row r="51" spans="3:5" ht="19" x14ac:dyDescent="0.25">
      <c r="C51" s="28" t="s">
        <v>196</v>
      </c>
      <c r="D51" s="28">
        <v>0.6</v>
      </c>
      <c r="E51" s="27" t="s">
        <v>133</v>
      </c>
    </row>
    <row r="52" spans="3:5" ht="19" x14ac:dyDescent="0.25">
      <c r="C52" s="29" t="s">
        <v>9</v>
      </c>
      <c r="D52" s="30">
        <f>D48*(1+(D49/SQRT(D51)))</f>
        <v>41.657679872084323</v>
      </c>
      <c r="E52" s="27" t="s">
        <v>193</v>
      </c>
    </row>
    <row r="53" spans="3:5" ht="19" x14ac:dyDescent="0.25">
      <c r="C53" s="29" t="s">
        <v>197</v>
      </c>
      <c r="D53" s="30">
        <f>D52*D51*LOG(D50/D51,2.718)</f>
        <v>45.473866968206337</v>
      </c>
      <c r="E53" s="27" t="s">
        <v>198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249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250</v>
      </c>
    </row>
    <row r="76" spans="10:14" x14ac:dyDescent="0.2">
      <c r="J76" t="s">
        <v>251</v>
      </c>
    </row>
    <row r="78" spans="10:14" x14ac:dyDescent="0.2">
      <c r="J78" t="s">
        <v>252</v>
      </c>
    </row>
    <row r="79" spans="10:14" x14ac:dyDescent="0.2">
      <c r="J79" t="s">
        <v>253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224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225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229</v>
      </c>
      <c r="D6" t="s">
        <v>230</v>
      </c>
      <c r="E6">
        <v>139439</v>
      </c>
    </row>
    <row r="7" spans="3:5" x14ac:dyDescent="0.2">
      <c r="C7" t="s">
        <v>229</v>
      </c>
      <c r="D7" t="s">
        <v>230</v>
      </c>
      <c r="E7">
        <v>139471</v>
      </c>
    </row>
    <row r="8" spans="3:5" x14ac:dyDescent="0.2">
      <c r="C8" t="s">
        <v>229</v>
      </c>
      <c r="D8" t="s">
        <v>230</v>
      </c>
      <c r="E8">
        <v>139341</v>
      </c>
    </row>
    <row r="9" spans="3:5" x14ac:dyDescent="0.2">
      <c r="C9" t="s">
        <v>229</v>
      </c>
      <c r="D9" t="s">
        <v>230</v>
      </c>
      <c r="E9">
        <v>139430</v>
      </c>
    </row>
    <row r="10" spans="3:5" x14ac:dyDescent="0.2">
      <c r="C10" t="s">
        <v>229</v>
      </c>
      <c r="D10" t="s">
        <v>230</v>
      </c>
      <c r="E10">
        <v>139415</v>
      </c>
    </row>
    <row r="11" spans="3:5" x14ac:dyDescent="0.2">
      <c r="C11" t="s">
        <v>229</v>
      </c>
      <c r="D11" t="s">
        <v>230</v>
      </c>
      <c r="E11">
        <v>139436</v>
      </c>
    </row>
    <row r="12" spans="3:5" x14ac:dyDescent="0.2">
      <c r="C12" t="s">
        <v>229</v>
      </c>
      <c r="D12" t="s">
        <v>230</v>
      </c>
      <c r="E12">
        <v>139456</v>
      </c>
    </row>
    <row r="13" spans="3:5" x14ac:dyDescent="0.2">
      <c r="C13" t="s">
        <v>229</v>
      </c>
      <c r="D13" t="s">
        <v>230</v>
      </c>
      <c r="E13">
        <v>139436</v>
      </c>
    </row>
    <row r="14" spans="3:5" x14ac:dyDescent="0.2">
      <c r="C14" t="s">
        <v>229</v>
      </c>
      <c r="D14" t="s">
        <v>230</v>
      </c>
      <c r="E14">
        <v>139461</v>
      </c>
    </row>
    <row r="15" spans="3:5" x14ac:dyDescent="0.2">
      <c r="C15" t="s">
        <v>229</v>
      </c>
      <c r="D15" t="s">
        <v>230</v>
      </c>
      <c r="E15">
        <v>139455</v>
      </c>
    </row>
    <row r="16" spans="3:5" x14ac:dyDescent="0.2">
      <c r="C16" t="s">
        <v>229</v>
      </c>
      <c r="D16" t="s">
        <v>230</v>
      </c>
      <c r="E16">
        <v>139435</v>
      </c>
    </row>
    <row r="17" spans="3:6" x14ac:dyDescent="0.2">
      <c r="C17" t="s">
        <v>229</v>
      </c>
      <c r="D17" t="s">
        <v>230</v>
      </c>
      <c r="E17">
        <v>139454</v>
      </c>
    </row>
    <row r="18" spans="3:6" x14ac:dyDescent="0.2">
      <c r="C18" t="s">
        <v>229</v>
      </c>
      <c r="D18" t="s">
        <v>230</v>
      </c>
      <c r="E18">
        <v>139432</v>
      </c>
    </row>
    <row r="19" spans="3:6" x14ac:dyDescent="0.2">
      <c r="C19" t="s">
        <v>229</v>
      </c>
      <c r="D19" t="s">
        <v>230</v>
      </c>
      <c r="E19">
        <v>139452</v>
      </c>
    </row>
    <row r="20" spans="3:6" x14ac:dyDescent="0.2">
      <c r="C20" t="s">
        <v>229</v>
      </c>
      <c r="D20" t="s">
        <v>230</v>
      </c>
      <c r="E20">
        <v>139444</v>
      </c>
    </row>
    <row r="21" spans="3:6" x14ac:dyDescent="0.2">
      <c r="C21" t="s">
        <v>229</v>
      </c>
      <c r="D21" t="s">
        <v>230</v>
      </c>
      <c r="E21">
        <v>139409</v>
      </c>
    </row>
    <row r="22" spans="3:6" x14ac:dyDescent="0.2">
      <c r="C22" t="s">
        <v>229</v>
      </c>
      <c r="D22" t="s">
        <v>230</v>
      </c>
      <c r="E22">
        <v>139463</v>
      </c>
    </row>
    <row r="23" spans="3:6" x14ac:dyDescent="0.2">
      <c r="C23" t="s">
        <v>229</v>
      </c>
      <c r="D23" t="s">
        <v>230</v>
      </c>
      <c r="E23">
        <v>139417</v>
      </c>
    </row>
    <row r="24" spans="3:6" x14ac:dyDescent="0.2">
      <c r="C24" t="s">
        <v>229</v>
      </c>
      <c r="D24" t="s">
        <v>230</v>
      </c>
      <c r="E24">
        <v>139439</v>
      </c>
    </row>
    <row r="25" spans="3:6" x14ac:dyDescent="0.2">
      <c r="C25" t="s">
        <v>229</v>
      </c>
      <c r="D25" t="s">
        <v>230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229</v>
      </c>
      <c r="D28" t="s">
        <v>230</v>
      </c>
      <c r="E28">
        <v>502546</v>
      </c>
    </row>
    <row r="29" spans="3:6" x14ac:dyDescent="0.2">
      <c r="C29" t="s">
        <v>229</v>
      </c>
      <c r="D29" t="s">
        <v>230</v>
      </c>
      <c r="E29">
        <v>502494</v>
      </c>
    </row>
    <row r="30" spans="3:6" x14ac:dyDescent="0.2">
      <c r="C30" t="s">
        <v>229</v>
      </c>
      <c r="D30" t="s">
        <v>230</v>
      </c>
      <c r="E30">
        <v>502548</v>
      </c>
    </row>
    <row r="31" spans="3:6" x14ac:dyDescent="0.2">
      <c r="C31" t="s">
        <v>229</v>
      </c>
      <c r="D31" t="s">
        <v>230</v>
      </c>
      <c r="E31">
        <v>502442</v>
      </c>
    </row>
    <row r="32" spans="3:6" x14ac:dyDescent="0.2">
      <c r="C32" t="s">
        <v>229</v>
      </c>
      <c r="D32" t="s">
        <v>230</v>
      </c>
      <c r="E32">
        <v>502516</v>
      </c>
    </row>
    <row r="33" spans="3:9" x14ac:dyDescent="0.2">
      <c r="C33" t="s">
        <v>229</v>
      </c>
      <c r="D33" t="s">
        <v>230</v>
      </c>
      <c r="E33">
        <v>502508</v>
      </c>
    </row>
    <row r="34" spans="3:9" x14ac:dyDescent="0.2">
      <c r="C34" t="s">
        <v>229</v>
      </c>
      <c r="D34" t="s">
        <v>230</v>
      </c>
      <c r="E34">
        <v>502500</v>
      </c>
    </row>
    <row r="35" spans="3:9" x14ac:dyDescent="0.2">
      <c r="C35" t="s">
        <v>229</v>
      </c>
      <c r="D35" t="s">
        <v>230</v>
      </c>
      <c r="E35">
        <v>502542</v>
      </c>
    </row>
    <row r="36" spans="3:9" x14ac:dyDescent="0.2">
      <c r="C36" t="s">
        <v>229</v>
      </c>
      <c r="D36" t="s">
        <v>230</v>
      </c>
      <c r="E36">
        <v>502523</v>
      </c>
    </row>
    <row r="37" spans="3:9" x14ac:dyDescent="0.2">
      <c r="C37" t="s">
        <v>229</v>
      </c>
      <c r="D37" t="s">
        <v>230</v>
      </c>
      <c r="E37">
        <v>502559</v>
      </c>
    </row>
    <row r="38" spans="3:9" x14ac:dyDescent="0.2">
      <c r="C38" t="s">
        <v>229</v>
      </c>
      <c r="D38" t="s">
        <v>230</v>
      </c>
      <c r="E38">
        <v>502555</v>
      </c>
    </row>
    <row r="39" spans="3:9" x14ac:dyDescent="0.2">
      <c r="C39" t="s">
        <v>229</v>
      </c>
      <c r="D39" t="s">
        <v>230</v>
      </c>
      <c r="E39">
        <v>502494</v>
      </c>
    </row>
    <row r="40" spans="3:9" x14ac:dyDescent="0.2">
      <c r="C40" t="s">
        <v>229</v>
      </c>
      <c r="D40" t="s">
        <v>230</v>
      </c>
      <c r="E40">
        <v>502541</v>
      </c>
    </row>
    <row r="41" spans="3:9" x14ac:dyDescent="0.2">
      <c r="C41" t="s">
        <v>229</v>
      </c>
      <c r="D41" t="s">
        <v>230</v>
      </c>
      <c r="E41">
        <v>502520</v>
      </c>
    </row>
    <row r="42" spans="3:9" x14ac:dyDescent="0.2">
      <c r="C42" t="s">
        <v>229</v>
      </c>
      <c r="D42" t="s">
        <v>230</v>
      </c>
      <c r="E42">
        <v>502450</v>
      </c>
    </row>
    <row r="43" spans="3:9" x14ac:dyDescent="0.2">
      <c r="C43" t="s">
        <v>229</v>
      </c>
      <c r="D43" t="s">
        <v>230</v>
      </c>
      <c r="E43">
        <v>502461</v>
      </c>
    </row>
    <row r="44" spans="3:9" x14ac:dyDescent="0.2">
      <c r="C44" t="s">
        <v>229</v>
      </c>
      <c r="D44" t="s">
        <v>230</v>
      </c>
      <c r="E44">
        <v>502502</v>
      </c>
    </row>
    <row r="45" spans="3:9" x14ac:dyDescent="0.2">
      <c r="C45" t="s">
        <v>229</v>
      </c>
      <c r="D45" t="s">
        <v>230</v>
      </c>
      <c r="E45">
        <v>502492</v>
      </c>
    </row>
    <row r="46" spans="3:9" x14ac:dyDescent="0.2">
      <c r="C46" t="s">
        <v>229</v>
      </c>
      <c r="D46" t="s">
        <v>230</v>
      </c>
      <c r="E46">
        <v>502460</v>
      </c>
    </row>
    <row r="47" spans="3:9" x14ac:dyDescent="0.2">
      <c r="C47" t="s">
        <v>229</v>
      </c>
      <c r="D47" t="s">
        <v>230</v>
      </c>
      <c r="E47">
        <v>502500</v>
      </c>
    </row>
    <row r="48" spans="3:9" x14ac:dyDescent="0.2">
      <c r="C48" t="s">
        <v>229</v>
      </c>
      <c r="D48" t="s">
        <v>230</v>
      </c>
      <c r="E48">
        <v>502515</v>
      </c>
      <c r="H48" s="5">
        <f>F25</f>
        <v>139432.70000000001</v>
      </c>
      <c r="I48" t="s">
        <v>224</v>
      </c>
    </row>
    <row r="49" spans="3:9" x14ac:dyDescent="0.2">
      <c r="C49" t="s">
        <v>229</v>
      </c>
      <c r="D49" t="s">
        <v>230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231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2022-12-17T16:58:22Z</dcterms:modified>
</cp:coreProperties>
</file>