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DB62A8DF-56DF-2844-BC9E-EE602B543A67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K116" i="2"/>
  <c r="AB44" i="2"/>
  <c r="AC44" i="2"/>
  <c r="AC34" i="2"/>
  <c r="AB34" i="2"/>
  <c r="AB19" i="2"/>
  <c r="AC19" i="2"/>
  <c r="AB20" i="2"/>
  <c r="AC20" i="2"/>
  <c r="Y19" i="2"/>
  <c r="Y20" i="2"/>
  <c r="AC29" i="2"/>
  <c r="AC36" i="2" s="1"/>
  <c r="AC37" i="2" s="1"/>
  <c r="AB29" i="2"/>
  <c r="AB36" i="2" s="1"/>
  <c r="AB37" i="2" s="1"/>
  <c r="K119" i="2"/>
  <c r="K110" i="2"/>
  <c r="K111" i="2" s="1"/>
  <c r="K117" i="2" s="1"/>
  <c r="K106" i="2"/>
  <c r="K105" i="2"/>
  <c r="K101" i="2"/>
  <c r="K102" i="2" s="1"/>
  <c r="K115" i="2" s="1"/>
  <c r="K121" i="2" s="1"/>
  <c r="K97" i="2"/>
  <c r="K98" i="2" s="1"/>
  <c r="N4" i="2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K122" i="2" l="1"/>
  <c r="AB35" i="2"/>
  <c r="AB38" i="2" s="1"/>
  <c r="AC35" i="2"/>
  <c r="AC38" i="2" s="1"/>
  <c r="D33" i="2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Y18" i="2"/>
  <c r="Y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14" i="2"/>
  <c r="AE15" i="2"/>
  <c r="AE16" i="2"/>
  <c r="AE13" i="2"/>
  <c r="X14" i="2"/>
  <c r="X15" i="2"/>
  <c r="X16" i="2"/>
  <c r="X13" i="2"/>
  <c r="Y14" i="2"/>
  <c r="Y15" i="2"/>
  <c r="Y16" i="2"/>
  <c r="Y13" i="2"/>
  <c r="AB17" i="2"/>
  <c r="AC31" i="2"/>
  <c r="AC32" i="2" s="1"/>
  <c r="AB31" i="2"/>
  <c r="AB32" i="2" s="1"/>
  <c r="W14" i="2"/>
  <c r="W15" i="2"/>
  <c r="W16" i="2"/>
  <c r="W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4" i="1"/>
  <c r="M13" i="1"/>
  <c r="M11" i="1"/>
  <c r="O16" i="1"/>
  <c r="O17" i="1" s="1"/>
  <c r="S6" i="1"/>
  <c r="U4" i="1" s="1"/>
  <c r="O14" i="1"/>
  <c r="P14" i="1"/>
  <c r="P16" i="1"/>
  <c r="P17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N16" i="1"/>
  <c r="N17" i="1" s="1"/>
  <c r="Q16" i="1"/>
  <c r="Q17" i="1" s="1"/>
  <c r="R16" i="1"/>
  <c r="R17" i="1" s="1"/>
  <c r="R18" i="1" s="1"/>
  <c r="S16" i="1"/>
  <c r="S17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51" i="1" s="1"/>
  <c r="K21" i="1" s="1"/>
  <c r="K23" i="1" s="1"/>
  <c r="K24" i="1" s="1"/>
  <c r="K25" i="1" s="1"/>
  <c r="B44" i="1"/>
  <c r="J44" i="1" s="1"/>
  <c r="J45" i="1" s="1"/>
  <c r="B12" i="1"/>
  <c r="B15" i="1" s="1"/>
  <c r="B34" i="1"/>
  <c r="B37" i="1" s="1"/>
  <c r="B43" i="1"/>
  <c r="B112" i="1"/>
  <c r="B114" i="1" s="1"/>
  <c r="B101" i="1"/>
  <c r="B99" i="1"/>
  <c r="D99" i="1" s="1"/>
  <c r="D101" i="1" s="1"/>
  <c r="B98" i="1"/>
  <c r="E46" i="1"/>
  <c r="G76" i="1"/>
  <c r="G57" i="1"/>
  <c r="B47" i="1"/>
  <c r="B48" i="1" s="1"/>
  <c r="G61" i="1"/>
  <c r="G63" i="1"/>
  <c r="B106" i="1"/>
  <c r="B107" i="1" s="1"/>
  <c r="B80" i="1"/>
  <c r="E66" i="1"/>
  <c r="B13" i="1" l="1"/>
  <c r="B53" i="1"/>
  <c r="B55" i="1" s="1"/>
  <c r="G55" i="1" s="1"/>
  <c r="B82" i="1" s="1"/>
  <c r="Q18" i="1"/>
  <c r="P18" i="1"/>
  <c r="O18" i="1"/>
  <c r="M18" i="1"/>
  <c r="N18" i="1"/>
  <c r="B10" i="1"/>
  <c r="B17" i="1" s="1"/>
  <c r="S18" i="1"/>
  <c r="U5" i="1"/>
  <c r="U7" i="1" s="1"/>
  <c r="O12" i="2"/>
  <c r="O13" i="2" s="1"/>
  <c r="B13" i="2"/>
  <c r="B26" i="2" s="1"/>
  <c r="B32" i="2" s="1"/>
  <c r="AC41" i="2"/>
  <c r="AB41" i="2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0" i="1" l="1"/>
  <c r="O14" i="2"/>
  <c r="O15" i="2" s="1"/>
  <c r="AB39" i="2"/>
  <c r="AB42" i="2" s="1"/>
  <c r="AF15" i="2"/>
  <c r="AF16" i="2"/>
  <c r="AF13" i="2"/>
  <c r="AF14" i="2"/>
  <c r="AC39" i="2"/>
  <c r="AC42" i="2" s="1"/>
  <c r="AG16" i="2"/>
  <c r="AG13" i="2"/>
  <c r="AG15" i="2"/>
  <c r="AG14" i="2"/>
  <c r="U34" i="3"/>
  <c r="S34" i="3"/>
  <c r="V34" i="3"/>
  <c r="B88" i="1"/>
  <c r="B90" i="1"/>
  <c r="P34" i="3"/>
  <c r="L34" i="3"/>
  <c r="O34" i="3"/>
  <c r="R34" i="3"/>
  <c r="Q34" i="3"/>
  <c r="T34" i="3"/>
  <c r="B84" i="1"/>
  <c r="B24" i="1" l="1"/>
  <c r="B23" i="1"/>
  <c r="B25" i="1" s="1"/>
  <c r="B27" i="1" s="1"/>
  <c r="B30" i="1" s="1"/>
  <c r="B93" i="1"/>
  <c r="F93" i="1" s="1"/>
  <c r="B94" i="1"/>
  <c r="B33" i="2"/>
  <c r="B28" i="1" l="1"/>
</calcChain>
</file>

<file path=xl/sharedStrings.xml><?xml version="1.0" encoding="utf-8"?>
<sst xmlns="http://schemas.openxmlformats.org/spreadsheetml/2006/main" count="714" uniqueCount="328">
  <si>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</si>
  <si>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</si>
  <si>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</si>
  <si>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</si>
  <si>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</si>
  <si>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</si>
  <si>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</si>
  <si>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</si>
  <si>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</si>
  <si>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</si>
  <si>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</si>
  <si>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</si>
  <si>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</si>
  <si>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</si>
  <si>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</si>
  <si>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</si>
  <si>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</si>
  <si>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</si>
  <si>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</si>
  <si>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</si>
  <si>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</si>
  <si>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</si>
  <si>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</si>
  <si>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</si>
  <si>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</si>
  <si>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</si>
  <si>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</si>
  <si>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</si>
  <si>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</si>
  <si>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</si>
  <si>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</si>
  <si>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</si>
  <si>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</si>
  <si>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</si>
  <si>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</si>
  <si>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</si>
  <si>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</si>
  <si>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</si>
  <si>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</si>
  <si>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</si>
  <si>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</si>
  <si>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</si>
  <si>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</si>
  <si>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</si>
  <si>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</si>
  <si>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</si>
  <si>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</si>
  <si>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</si>
  <si>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</si>
  <si>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</si>
  <si>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</si>
  <si>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</si>
  <si>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</si>
  <si>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</si>
  <si>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</si>
  <si>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</si>
  <si>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</si>
  <si>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</si>
  <si>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</si>
  <si>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</si>
  <si>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</si>
  <si>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</si>
  <si>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</si>
  <si>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</si>
  <si>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</si>
  <si>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</si>
  <si>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</si>
  <si>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</si>
  <si>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</si>
  <si>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</si>
  <si>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</si>
  <si>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</si>
  <si>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</si>
  <si>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</si>
  <si>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</si>
  <si>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</si>
  <si>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</si>
  <si>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</si>
  <si>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</si>
  <si>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</si>
  <si>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</si>
  <si>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</si>
  <si>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</si>
  <si>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</si>
  <si>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</si>
  <si>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</si>
  <si>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</si>
  <si>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</si>
  <si>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</si>
  <si>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</si>
  <si>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</si>
  <si>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</si>
  <si>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</si>
  <si>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</si>
  <si>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</si>
  <si>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</si>
  <si>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</si>
  <si>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</si>
  <si>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</si>
  <si>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</si>
  <si>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</si>
  <si>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</si>
  <si>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</si>
  <si>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</si>
  <si>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</si>
  <si>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</si>
  <si>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</si>
  <si>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</si>
  <si>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</si>
  <si>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</si>
  <si>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</si>
  <si>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</si>
  <si>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</si>
  <si>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</si>
  <si>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</si>
  <si>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</si>
  <si>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</si>
  <si>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</si>
  <si>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</si>
  <si>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</si>
  <si>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</si>
  <si>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</si>
  <si>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</si>
  <si>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</si>
  <si>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</si>
  <si>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</si>
  <si>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</si>
  <si>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</si>
  <si>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</si>
  <si>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</si>
  <si>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</si>
  <si>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</si>
  <si>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</si>
  <si>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</si>
  <si>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</si>
  <si>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</si>
  <si>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</si>
  <si>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</si>
  <si>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</si>
  <si>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</si>
  <si>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</si>
  <si>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</si>
  <si>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</si>
  <si>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</si>
  <si>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</si>
  <si>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</si>
  <si>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</si>
  <si>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</si>
  <si>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</si>
  <si>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</si>
  <si>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</si>
  <si>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</si>
  <si>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</si>
  <si>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</si>
  <si>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</si>
  <si>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</si>
  <si>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</si>
  <si>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</si>
  <si>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</si>
  <si>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</si>
  <si>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</si>
  <si>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</si>
  <si>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</si>
  <si>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</si>
  <si>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</si>
  <si>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</si>
  <si>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</si>
  <si>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</si>
  <si>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</si>
  <si>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</si>
  <si>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</si>
  <si>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</si>
  <si>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</si>
  <si>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</si>
  <si>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</si>
  <si>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</si>
  <si>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</si>
  <si>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</si>
  <si>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</si>
  <si>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</si>
  <si>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</si>
  <si>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</si>
  <si>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</si>
  <si>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</si>
  <si>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</si>
  <si>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</si>
  <si>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</si>
  <si>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</si>
  <si>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</si>
  <si>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</si>
  <si>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</si>
  <si>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</si>
  <si>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</si>
  <si>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</si>
  <si>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</si>
  <si>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</si>
  <si>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</si>
  <si>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</si>
  <si>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</si>
  <si>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</si>
  <si>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</si>
  <si>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</si>
  <si>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</si>
  <si>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</si>
  <si>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</si>
  <si>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</si>
  <si>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</si>
  <si>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</si>
  <si>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</si>
  <si>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</si>
  <si>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</si>
  <si>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</si>
  <si>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</si>
  <si>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</si>
  <si>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</si>
  <si>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</si>
  <si>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</si>
  <si>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</si>
  <si>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</si>
  <si>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</si>
  <si>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</si>
  <si>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</si>
  <si>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</si>
  <si>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</si>
  <si>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</si>
  <si>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</si>
  <si>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</si>
  <si>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</si>
  <si>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</si>
  <si>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</si>
  <si>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</si>
  <si>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</si>
  <si>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</si>
  <si>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</si>
  <si>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</si>
  <si>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</si>
  <si>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</si>
  <si>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</si>
  <si>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</si>
  <si>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</si>
  <si>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</si>
  <si>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</si>
  <si>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</si>
  <si>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</si>
  <si>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</si>
  <si>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</si>
  <si>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</si>
  <si>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</si>
  <si>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</si>
  <si>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</si>
  <si>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</si>
  <si>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</si>
  <si>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</si>
  <si>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</si>
  <si>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</si>
  <si>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</si>
  <si>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</si>
  <si>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</si>
  <si>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</si>
  <si>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</si>
  <si>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</si>
  <si>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</si>
  <si>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</si>
  <si>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</si>
  <si>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</si>
  <si>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</si>
  <si>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</si>
  <si>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</si>
  <si>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</si>
  <si>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</si>
  <si>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ampacity</t>
  </si>
  <si>
    <t>mT</t>
  </si>
  <si>
    <t>(push-pull each coil)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</si>
  <si>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</si>
  <si>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</si>
  <si>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</si>
  <si>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</si>
  <si>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</si>
  <si>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</si>
  <si>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</si>
  <si>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</si>
  <si>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</si>
  <si>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</si>
  <si>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</si>
  <si>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</si>
  <si>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</si>
  <si>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</si>
  <si>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</si>
  <si>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</si>
  <si>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</si>
  <si>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</si>
  <si>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</si>
  <si>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</si>
  <si>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</si>
  <si>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</si>
  <si>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</si>
  <si>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</si>
  <si>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</si>
  <si>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</si>
  <si>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</si>
  <si>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</si>
  <si>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</si>
  <si>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</si>
  <si>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</si>
  <si>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</si>
  <si>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</si>
  <si>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</si>
  <si>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</si>
  <si>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</si>
  <si>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</si>
  <si>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</si>
  <si>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</si>
  <si>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</si>
  <si>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</si>
  <si>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66/46</t>
  </si>
  <si>
    <t>min turns sec @ nominal</t>
  </si>
  <si>
    <t>4 cells, 13.8-14.8V</t>
  </si>
  <si>
    <t>Toroids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</si>
  <si>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</si>
  <si>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</si>
  <si>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</si>
  <si>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</si>
  <si>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</si>
  <si>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</si>
  <si>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</si>
  <si>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</si>
  <si>
    <t>Measurements of actual sizes</t>
  </si>
  <si>
    <t>(60/46)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</si>
</sst>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0" xfId="14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  <xf numFmtId="2" fontId="0" fillId="4" borderId="0" xfId="0" applyNumberForma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B8" sqref="B8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8" t="s">
        <v>110</v>
      </c>
      <c r="F2">
        <f>1.1*10^-11</f>
        <v>1.1000000000000001E-11</v>
      </c>
      <c r="G2" t="s">
        <v>278</v>
      </c>
      <c r="H2" t="s">
        <v>308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306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307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8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2" t="s">
        <v>165</v>
      </c>
      <c r="L7" s="9" t="s">
        <v>314</v>
      </c>
      <c r="M7" s="9" t="s">
        <v>166</v>
      </c>
      <c r="N7" s="9" t="s">
        <v>138</v>
      </c>
      <c r="O7" s="22" t="s">
        <v>163</v>
      </c>
      <c r="P7" s="22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172</v>
      </c>
    </row>
    <row r="8" spans="1:25" x14ac:dyDescent="0.2">
      <c r="B8" s="7">
        <v>17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7">
        <v>17</v>
      </c>
      <c r="L8">
        <v>19</v>
      </c>
      <c r="O8" s="7"/>
      <c r="P8" s="22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/>
      <c r="M9" s="9" t="s">
        <v>169</v>
      </c>
      <c r="N9" s="9" t="s">
        <v>139</v>
      </c>
      <c r="O9" s="22" t="s">
        <v>139</v>
      </c>
      <c r="P9" s="22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13.387500000000003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3">
        <f>O10/25.4</f>
        <v>2.598425196850394E-2</v>
      </c>
      <c r="P11" s="23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1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121.5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L14">
        <v>71.599999999999994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46.042985581471157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K16" s="7">
        <v>121.5</v>
      </c>
      <c r="L16" t="s">
        <v>327</v>
      </c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(0.29*B10+(0.41*(B45/2))+(1.94*SQRT(((B45/2)^3)/B10)))</f>
        <v>4.7806486944273656</v>
      </c>
      <c r="C17" t="s">
        <v>54</v>
      </c>
      <c r="D17" t="s">
        <v>55</v>
      </c>
      <c r="E17" s="48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0">
        <f>M17/$S6</f>
        <v>0.61247637051039705</v>
      </c>
      <c r="N18" s="20">
        <f>N17/$S6</f>
        <v>0.34964083175803412</v>
      </c>
      <c r="O18" s="20">
        <f t="shared" ref="O18:P18" si="8">O17/$S6</f>
        <v>0.32937618147448022</v>
      </c>
      <c r="P18" s="20">
        <f t="shared" si="8"/>
        <v>0.30623818525519847</v>
      </c>
      <c r="Q18" s="20">
        <f t="shared" ref="Q18:S18" si="9">Q17/$S6</f>
        <v>0.32937618147448011</v>
      </c>
      <c r="R18" s="20">
        <f t="shared" si="9"/>
        <v>0.32937618147448011</v>
      </c>
      <c r="S18" s="20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5">
        <f>((((B7^2) * ((B11/2)^2)) /(( 9 * (B11/2)) + ( 10 * B10))))</f>
        <v>3674.3410669191912</v>
      </c>
      <c r="C20" t="s">
        <v>57</v>
      </c>
      <c r="D20" t="s">
        <v>55</v>
      </c>
      <c r="E20" t="s">
        <v>61</v>
      </c>
      <c r="K20" s="17" t="s">
        <v>115</v>
      </c>
      <c r="L20" s="17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19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6">
        <f>1/(2*PI() * SQRT( (B20*0.000001) * ((B18+B4)*0.000000000001) ) )</f>
        <v>639013.77227889106</v>
      </c>
      <c r="C23" t="s">
        <v>63</v>
      </c>
      <c r="D23" t="s">
        <v>39</v>
      </c>
      <c r="E23" t="s">
        <v>68</v>
      </c>
      <c r="K23" s="19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1.5649114985953076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4015041.9450681303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6">
        <f>B25*(B20/1000000)</f>
        <v>14752.633504166939</v>
      </c>
      <c r="C27" t="s">
        <v>82</v>
      </c>
    </row>
    <row r="28" spans="1:20" x14ac:dyDescent="0.2">
      <c r="B28" s="16">
        <f>1/(B25*((B18+B4)/1000000000000))</f>
        <v>14752.633504166934</v>
      </c>
      <c r="C28" t="s">
        <v>83</v>
      </c>
    </row>
    <row r="30" spans="1:20" x14ac:dyDescent="0.2">
      <c r="B30" s="14">
        <f>B27/B15</f>
        <v>320.4100107292731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8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  <c r="L32" s="9" t="s">
        <v>314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  <c r="L33">
        <v>0.56699999999999995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1.7000000000000001E-2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1.7000000000000001E-2</v>
      </c>
      <c r="C42" t="s">
        <v>3</v>
      </c>
      <c r="D42" t="s">
        <v>1</v>
      </c>
    </row>
    <row r="43" spans="2:12" x14ac:dyDescent="0.2">
      <c r="B43">
        <f>B42*25.4</f>
        <v>0.43180000000000002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660.60214111159428</v>
      </c>
      <c r="K44" t="s">
        <v>21</v>
      </c>
    </row>
    <row r="45" spans="2:12" x14ac:dyDescent="0.2">
      <c r="B45">
        <f>B11</f>
        <v>1.93</v>
      </c>
      <c r="C45" t="s">
        <v>3</v>
      </c>
      <c r="D45" t="s">
        <v>4</v>
      </c>
      <c r="J45" s="1">
        <f>J44/1000</f>
        <v>0.66060214111159432</v>
      </c>
    </row>
    <row r="46" spans="2:12" x14ac:dyDescent="0.2">
      <c r="B46">
        <v>350</v>
      </c>
      <c r="C46" t="s">
        <v>2</v>
      </c>
      <c r="D46" t="s">
        <v>62</v>
      </c>
      <c r="E46" s="2">
        <f>B46/25.4</f>
        <v>13.779527559055119</v>
      </c>
      <c r="F46" t="s">
        <v>7</v>
      </c>
      <c r="J46" s="4">
        <f>B65*J45</f>
        <v>10.591358206600455</v>
      </c>
      <c r="K46" t="s">
        <v>223</v>
      </c>
    </row>
    <row r="47" spans="2:12" x14ac:dyDescent="0.2">
      <c r="B47" s="2">
        <f>PI() * B44*B43*B46/1000</f>
        <v>23.275101344864463</v>
      </c>
      <c r="C47" t="s">
        <v>21</v>
      </c>
      <c r="D47" t="s">
        <v>22</v>
      </c>
    </row>
    <row r="48" spans="2:12" x14ac:dyDescent="0.2">
      <c r="B48" s="2">
        <f>B47*B40</f>
        <v>29.559378707977871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176</v>
      </c>
      <c r="H51" t="s">
        <v>175</v>
      </c>
      <c r="I51" t="s">
        <v>174</v>
      </c>
      <c r="J51">
        <v>8</v>
      </c>
      <c r="K51" t="s">
        <v>9</v>
      </c>
    </row>
    <row r="52" spans="2:11" x14ac:dyDescent="0.2">
      <c r="G52" t="s">
        <v>179</v>
      </c>
      <c r="H52" t="s">
        <v>178</v>
      </c>
      <c r="I52" t="s">
        <v>177</v>
      </c>
      <c r="J52">
        <v>600</v>
      </c>
      <c r="K52" t="s">
        <v>173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89.431176057671621</v>
      </c>
      <c r="C55" t="s">
        <v>9</v>
      </c>
      <c r="D55" t="s">
        <v>14</v>
      </c>
      <c r="G55" s="2">
        <f>B55</f>
        <v>89.431176057671621</v>
      </c>
    </row>
    <row r="57" spans="2:11" x14ac:dyDescent="0.2">
      <c r="B57">
        <v>91</v>
      </c>
      <c r="C57" t="s">
        <v>9</v>
      </c>
      <c r="D57" t="s">
        <v>325</v>
      </c>
      <c r="G57" s="2">
        <f>B57</f>
        <v>91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233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222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234</v>
      </c>
      <c r="E67">
        <v>4</v>
      </c>
      <c r="F67">
        <v>0.7</v>
      </c>
      <c r="I67" t="s">
        <v>229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228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7" t="s">
        <v>109</v>
      </c>
    </row>
    <row r="79" spans="1:12" x14ac:dyDescent="0.2">
      <c r="B79">
        <f>H83</f>
        <v>1.6</v>
      </c>
      <c r="C79" t="s">
        <v>26</v>
      </c>
      <c r="D79" t="s">
        <v>224</v>
      </c>
    </row>
    <row r="80" spans="1:12" x14ac:dyDescent="0.2">
      <c r="B80" s="2">
        <f>B79*1000/9.8</f>
        <v>163.26530612244898</v>
      </c>
      <c r="C80" t="s">
        <v>48</v>
      </c>
      <c r="G80" t="s">
        <v>231</v>
      </c>
    </row>
    <row r="81" spans="1:9" x14ac:dyDescent="0.2">
      <c r="G81" t="s">
        <v>182</v>
      </c>
      <c r="H81" s="29">
        <v>25</v>
      </c>
      <c r="I81" t="s">
        <v>131</v>
      </c>
    </row>
    <row r="82" spans="1:9" x14ac:dyDescent="0.2">
      <c r="B82" s="2">
        <f>SUM(G55:G76)</f>
        <v>529.44552796184155</v>
      </c>
      <c r="C82" t="s">
        <v>9</v>
      </c>
      <c r="D82" t="s">
        <v>31</v>
      </c>
      <c r="G82" t="s">
        <v>183</v>
      </c>
      <c r="H82" s="29">
        <v>100</v>
      </c>
      <c r="I82" t="s">
        <v>131</v>
      </c>
    </row>
    <row r="83" spans="1:9" x14ac:dyDescent="0.2">
      <c r="G83" t="s">
        <v>184</v>
      </c>
      <c r="H83" s="29">
        <v>1.6</v>
      </c>
      <c r="I83" t="s">
        <v>26</v>
      </c>
    </row>
    <row r="84" spans="1:9" x14ac:dyDescent="0.2">
      <c r="B84" s="2">
        <f>B80/B82</f>
        <v>0.30837035634422416</v>
      </c>
      <c r="D84" t="s">
        <v>27</v>
      </c>
      <c r="G84" t="s">
        <v>185</v>
      </c>
      <c r="H84" s="29">
        <v>60</v>
      </c>
      <c r="I84" t="s">
        <v>121</v>
      </c>
    </row>
    <row r="85" spans="1:9" x14ac:dyDescent="0.2">
      <c r="G85" t="s">
        <v>186</v>
      </c>
      <c r="H85" s="29">
        <v>0.8</v>
      </c>
      <c r="I85" t="s">
        <v>180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187</v>
      </c>
      <c r="H86" s="29">
        <v>75</v>
      </c>
      <c r="I86" t="s">
        <v>181</v>
      </c>
    </row>
    <row r="88" spans="1:9" x14ac:dyDescent="0.2">
      <c r="B88" s="1">
        <f>B82/B86</f>
        <v>0.11765456176929812</v>
      </c>
      <c r="C88" t="s">
        <v>29</v>
      </c>
      <c r="D88" t="s">
        <v>30</v>
      </c>
    </row>
    <row r="90" spans="1:9" x14ac:dyDescent="0.2">
      <c r="B90" s="2">
        <f>B82/30</f>
        <v>17.648184265394718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3.643488819411858</v>
      </c>
      <c r="C93" t="s">
        <v>51</v>
      </c>
      <c r="D93" t="s">
        <v>30</v>
      </c>
      <c r="F93" s="2">
        <f>B93/16</f>
        <v>0.22771805121324112</v>
      </c>
      <c r="G93" t="s">
        <v>230</v>
      </c>
    </row>
    <row r="94" spans="1:9" x14ac:dyDescent="0.2">
      <c r="B94" s="4">
        <f>B90/(B91/144)^1.5</f>
        <v>1.6554884188545633</v>
      </c>
      <c r="C94" t="s">
        <v>52</v>
      </c>
      <c r="D94" t="s">
        <v>53</v>
      </c>
    </row>
    <row r="96" spans="1:9" x14ac:dyDescent="0.2">
      <c r="A96" s="17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232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236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0">
        <f>1/B117</f>
        <v>13.360715576296519</v>
      </c>
      <c r="C119" t="s">
        <v>237</v>
      </c>
    </row>
  </sheetData>
  <hyperlinks>
    <hyperlink ref="E17" r:id="rId1" xr:uid="{982F6BD9-0C86-C144-8943-34BF5C65E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235</v>
      </c>
    </row>
    <row r="2" spans="1:3" x14ac:dyDescent="0.2">
      <c r="B2">
        <v>5.3</v>
      </c>
    </row>
    <row r="3" spans="1:3" x14ac:dyDescent="0.2">
      <c r="A3" t="s">
        <v>131</v>
      </c>
      <c r="B3" t="s">
        <v>239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25"/>
  <sheetViews>
    <sheetView tabSelected="1" topLeftCell="I1" zoomScaleNormal="100" workbookViewId="0">
      <selection activeCell="V24" sqref="V24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7" t="s">
        <v>111</v>
      </c>
    </row>
    <row r="3" spans="1:33" x14ac:dyDescent="0.2">
      <c r="B3">
        <v>10</v>
      </c>
      <c r="C3">
        <v>13.3</v>
      </c>
      <c r="D3" s="49">
        <v>13.3</v>
      </c>
      <c r="E3">
        <v>10</v>
      </c>
      <c r="F3">
        <v>10</v>
      </c>
      <c r="G3">
        <v>13.3</v>
      </c>
      <c r="H3" s="49">
        <v>13.3</v>
      </c>
      <c r="I3">
        <v>13.3</v>
      </c>
      <c r="J3" s="49">
        <v>14.8</v>
      </c>
      <c r="K3">
        <v>13.3</v>
      </c>
      <c r="L3" t="s">
        <v>100</v>
      </c>
      <c r="M3" t="s">
        <v>106</v>
      </c>
      <c r="N3">
        <f>B3*2</f>
        <v>20</v>
      </c>
      <c r="O3" t="s">
        <v>134</v>
      </c>
      <c r="P3" t="s">
        <v>251</v>
      </c>
    </row>
    <row r="4" spans="1:33" x14ac:dyDescent="0.2">
      <c r="B4">
        <v>0.49</v>
      </c>
      <c r="C4">
        <v>0.49</v>
      </c>
      <c r="D4" s="49">
        <v>0.49</v>
      </c>
      <c r="E4">
        <v>0.626</v>
      </c>
      <c r="F4">
        <v>0.626</v>
      </c>
      <c r="G4">
        <v>0.626</v>
      </c>
      <c r="H4" s="49">
        <v>0.626</v>
      </c>
      <c r="I4">
        <v>0.626</v>
      </c>
      <c r="J4" s="49">
        <v>0.626</v>
      </c>
      <c r="K4">
        <v>0.626</v>
      </c>
      <c r="L4" t="s">
        <v>101</v>
      </c>
      <c r="M4" t="s">
        <v>17</v>
      </c>
      <c r="N4">
        <f>K3*2</f>
        <v>26.6</v>
      </c>
      <c r="O4" t="s">
        <v>134</v>
      </c>
      <c r="P4" t="s">
        <v>316</v>
      </c>
    </row>
    <row r="5" spans="1:33" x14ac:dyDescent="0.2">
      <c r="B5">
        <v>625000</v>
      </c>
      <c r="C5">
        <v>625000</v>
      </c>
      <c r="D5" s="49">
        <v>625000</v>
      </c>
      <c r="E5">
        <v>625000</v>
      </c>
      <c r="F5">
        <v>625000</v>
      </c>
      <c r="G5">
        <v>625000</v>
      </c>
      <c r="H5" s="49">
        <v>625000</v>
      </c>
      <c r="I5">
        <v>625000</v>
      </c>
      <c r="J5" s="49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 s="49">
        <v>4</v>
      </c>
      <c r="E6">
        <v>3</v>
      </c>
      <c r="F6">
        <v>3</v>
      </c>
      <c r="G6">
        <v>3</v>
      </c>
      <c r="H6" s="49">
        <v>3</v>
      </c>
      <c r="I6">
        <v>3</v>
      </c>
      <c r="J6" s="49">
        <v>3</v>
      </c>
      <c r="K6">
        <v>4</v>
      </c>
      <c r="L6" t="s">
        <v>103</v>
      </c>
      <c r="M6" t="s">
        <v>120</v>
      </c>
      <c r="N6" t="s">
        <v>272</v>
      </c>
    </row>
    <row r="7" spans="1:33" x14ac:dyDescent="0.2">
      <c r="B7">
        <v>4</v>
      </c>
      <c r="C7">
        <v>4</v>
      </c>
      <c r="D7" s="49">
        <v>4</v>
      </c>
      <c r="E7">
        <v>4</v>
      </c>
      <c r="F7">
        <v>4</v>
      </c>
      <c r="G7">
        <v>4</v>
      </c>
      <c r="H7" s="49">
        <v>4</v>
      </c>
      <c r="I7">
        <v>4</v>
      </c>
      <c r="J7" s="49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272.10884353741494</v>
      </c>
      <c r="C8" s="5">
        <f t="shared" si="0"/>
        <v>271.42857142857144</v>
      </c>
      <c r="D8" s="50">
        <f t="shared" si="0"/>
        <v>271.42857142857144</v>
      </c>
      <c r="E8" s="5">
        <f t="shared" si="0"/>
        <v>212.99254526091588</v>
      </c>
      <c r="F8" s="5">
        <f>(F3*10^8)/(F4*F5*F6*F7)</f>
        <v>212.99254526091588</v>
      </c>
      <c r="G8" s="5">
        <f t="shared" si="0"/>
        <v>283.28008519701808</v>
      </c>
      <c r="H8" s="50">
        <f t="shared" si="0"/>
        <v>283.28008519701808</v>
      </c>
      <c r="I8" s="5">
        <f t="shared" si="0"/>
        <v>283.28008519701808</v>
      </c>
      <c r="J8" s="50">
        <f>(J3*10^8)/(J4*J5*J6*J7)</f>
        <v>315.22896698615551</v>
      </c>
      <c r="K8" s="5">
        <f t="shared" si="0"/>
        <v>212.46006389776358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27.210884353741495</v>
      </c>
      <c r="C9" s="4">
        <f t="shared" si="1"/>
        <v>27.142857142857146</v>
      </c>
      <c r="D9" s="51">
        <f t="shared" si="1"/>
        <v>27.142857142857146</v>
      </c>
      <c r="E9" s="4">
        <f t="shared" si="1"/>
        <v>21.299254526091588</v>
      </c>
      <c r="F9" s="4">
        <f>F8/10</f>
        <v>21.299254526091588</v>
      </c>
      <c r="G9" s="4">
        <f t="shared" si="1"/>
        <v>28.328008519701807</v>
      </c>
      <c r="H9" s="51">
        <f t="shared" si="1"/>
        <v>28.328008519701807</v>
      </c>
      <c r="I9" s="4">
        <f t="shared" si="1"/>
        <v>28.328008519701807</v>
      </c>
      <c r="J9" s="51">
        <f>J8/10</f>
        <v>31.522896698615551</v>
      </c>
      <c r="K9" s="4">
        <f t="shared" si="1"/>
        <v>21.246006389776358</v>
      </c>
      <c r="L9" t="s">
        <v>99</v>
      </c>
      <c r="M9" t="s">
        <v>271</v>
      </c>
      <c r="N9" t="s">
        <v>281</v>
      </c>
    </row>
    <row r="10" spans="1:33" x14ac:dyDescent="0.2">
      <c r="D10" s="49"/>
      <c r="H10" s="49"/>
      <c r="J10" s="49"/>
      <c r="N10" s="37" t="s">
        <v>283</v>
      </c>
      <c r="O10" s="38"/>
      <c r="P10" s="39"/>
      <c r="Q10" s="47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49">
        <v>250</v>
      </c>
      <c r="E11" s="7">
        <v>100</v>
      </c>
      <c r="F11" s="7">
        <v>130</v>
      </c>
      <c r="G11" s="7">
        <v>100</v>
      </c>
      <c r="H11" s="49">
        <v>130</v>
      </c>
      <c r="I11" s="7">
        <v>160</v>
      </c>
      <c r="J11" s="49">
        <v>160</v>
      </c>
      <c r="K11" s="7">
        <v>160</v>
      </c>
      <c r="L11" t="s">
        <v>121</v>
      </c>
      <c r="N11" s="40" t="s">
        <v>252</v>
      </c>
      <c r="O11" s="35">
        <v>3.5000000000000003E-2</v>
      </c>
      <c r="P11" s="41">
        <v>3.5000000000000003E-2</v>
      </c>
      <c r="Q11" s="47"/>
      <c r="T11">
        <v>60</v>
      </c>
      <c r="U11">
        <v>1.9E-2</v>
      </c>
      <c r="W11" t="s">
        <v>270</v>
      </c>
    </row>
    <row r="12" spans="1:33" x14ac:dyDescent="0.2">
      <c r="B12" s="2">
        <f>B11/B3</f>
        <v>10</v>
      </c>
      <c r="C12" s="2">
        <f>C11/C3</f>
        <v>12.030075187969924</v>
      </c>
      <c r="D12" s="52">
        <f>D11/D3</f>
        <v>18.796992481203006</v>
      </c>
      <c r="E12" s="2">
        <f>E11/E3</f>
        <v>10</v>
      </c>
      <c r="F12" s="2">
        <f>F11/F3</f>
        <v>13</v>
      </c>
      <c r="G12" s="2">
        <f>G11/G3</f>
        <v>7.518796992481203</v>
      </c>
      <c r="H12" s="52">
        <f>H11/H3</f>
        <v>9.7744360902255636</v>
      </c>
      <c r="I12" s="2">
        <f>I11/I3</f>
        <v>12.030075187969924</v>
      </c>
      <c r="J12" s="52">
        <f>J11/J3</f>
        <v>10.810810810810811</v>
      </c>
      <c r="K12" s="2">
        <f>K11/K3</f>
        <v>12.030075187969924</v>
      </c>
      <c r="L12" t="s">
        <v>122</v>
      </c>
      <c r="N12" s="42" t="s">
        <v>253</v>
      </c>
      <c r="O12" s="36">
        <f>B12/2</f>
        <v>5</v>
      </c>
      <c r="P12" s="43">
        <f>H12/2</f>
        <v>4.8872180451127818</v>
      </c>
      <c r="Q12" s="36"/>
      <c r="R12" t="s">
        <v>255</v>
      </c>
      <c r="S12" t="s">
        <v>131</v>
      </c>
      <c r="T12" t="s">
        <v>256</v>
      </c>
      <c r="U12" t="s">
        <v>257</v>
      </c>
      <c r="V12" t="s">
        <v>263</v>
      </c>
      <c r="W12" t="s">
        <v>161</v>
      </c>
      <c r="X12" t="s">
        <v>261</v>
      </c>
      <c r="Y12" t="s">
        <v>260</v>
      </c>
      <c r="AB12" t="s">
        <v>84</v>
      </c>
      <c r="AE12" t="s">
        <v>262</v>
      </c>
      <c r="AF12" t="s">
        <v>267</v>
      </c>
    </row>
    <row r="13" spans="1:33" x14ac:dyDescent="0.2">
      <c r="B13" s="2">
        <f>B12/2</f>
        <v>5</v>
      </c>
      <c r="C13" s="2">
        <f>C12/2</f>
        <v>6.0150375939849621</v>
      </c>
      <c r="D13" s="52">
        <f>D12/2</f>
        <v>9.3984962406015029</v>
      </c>
      <c r="E13" s="2">
        <f>E12/2</f>
        <v>5</v>
      </c>
      <c r="F13" s="2">
        <f>F12/2</f>
        <v>6.5</v>
      </c>
      <c r="G13" s="2">
        <f>G12/2</f>
        <v>3.7593984962406015</v>
      </c>
      <c r="H13" s="52">
        <f>H12/2</f>
        <v>4.8872180451127818</v>
      </c>
      <c r="I13" s="2">
        <f>I12/2</f>
        <v>6.0150375939849621</v>
      </c>
      <c r="J13" s="52">
        <f>J12/2</f>
        <v>5.4054054054054053</v>
      </c>
      <c r="K13" s="2">
        <f>K12/2</f>
        <v>6.0150375939849621</v>
      </c>
      <c r="L13" t="s">
        <v>124</v>
      </c>
      <c r="N13" s="42" t="s">
        <v>254</v>
      </c>
      <c r="O13" s="36">
        <f>O12*O11</f>
        <v>0.17500000000000002</v>
      </c>
      <c r="P13" s="43">
        <f>P12*P11</f>
        <v>0.17105263157894737</v>
      </c>
      <c r="Q13" s="36"/>
      <c r="R13">
        <v>30</v>
      </c>
      <c r="S13">
        <v>101</v>
      </c>
      <c r="T13">
        <v>41</v>
      </c>
      <c r="U13">
        <v>1.6E-2</v>
      </c>
      <c r="V13">
        <v>112.5</v>
      </c>
      <c r="W13">
        <f>S13/500</f>
        <v>0.20200000000000001</v>
      </c>
      <c r="X13" s="1">
        <f>S13/300</f>
        <v>0.33666666666666667</v>
      </c>
      <c r="Y13" s="2">
        <f>U13*25.4</f>
        <v>0.40639999999999998</v>
      </c>
      <c r="AB13" s="5">
        <f>AB$36/$Y13</f>
        <v>194.70453367248237</v>
      </c>
      <c r="AC13" s="5">
        <f>AC$36/$Y13</f>
        <v>172.69174026607908</v>
      </c>
      <c r="AE13" s="32">
        <f>V13/1000 / (2.54 * 12) * 100</f>
        <v>0.36909448818897639</v>
      </c>
      <c r="AF13" s="4">
        <f>$AE13*AB$38</f>
        <v>1.2166476377952757</v>
      </c>
      <c r="AG13" s="4">
        <f>$AE13*AC$38</f>
        <v>1.0822145669291341</v>
      </c>
    </row>
    <row r="14" spans="1:33" x14ac:dyDescent="0.2">
      <c r="D14" s="49"/>
      <c r="H14" s="49"/>
      <c r="J14" s="49"/>
      <c r="N14" s="42" t="s">
        <v>121</v>
      </c>
      <c r="O14" s="36">
        <f>O12^2 * O11</f>
        <v>0.87500000000000011</v>
      </c>
      <c r="P14" s="43">
        <f>P12^2 * P11</f>
        <v>0.83597150771666018</v>
      </c>
      <c r="Q14" s="36"/>
      <c r="R14">
        <v>28</v>
      </c>
      <c r="S14">
        <v>163</v>
      </c>
      <c r="T14">
        <v>66</v>
      </c>
      <c r="U14">
        <v>2.1000000000000001E-2</v>
      </c>
      <c r="V14">
        <v>71.599999999999994</v>
      </c>
      <c r="W14">
        <f>S14/500</f>
        <v>0.32600000000000001</v>
      </c>
      <c r="X14" s="1">
        <f>S14/300</f>
        <v>0.54333333333333333</v>
      </c>
      <c r="Y14" s="2">
        <f>U14*25.4</f>
        <v>0.53339999999999999</v>
      </c>
      <c r="AB14" s="5">
        <f>AB$36/$Y14</f>
        <v>148.34631136951037</v>
      </c>
      <c r="AC14" s="5">
        <f>AC$36/$Y14</f>
        <v>131.57465925034597</v>
      </c>
      <c r="AE14" s="32">
        <f t="shared" ref="AE14:AE16" si="2">V14/1000 / (2.54 * 12) * 100</f>
        <v>0.23490813648293962</v>
      </c>
      <c r="AF14" s="4">
        <f>$AE14*AB$38</f>
        <v>0.77432862992125984</v>
      </c>
      <c r="AG14" s="4">
        <f>$AE14*AC$38</f>
        <v>0.68876944881889768</v>
      </c>
    </row>
    <row r="15" spans="1:33" x14ac:dyDescent="0.2">
      <c r="B15" s="7">
        <v>300</v>
      </c>
      <c r="C15" s="7">
        <v>300</v>
      </c>
      <c r="D15" s="49">
        <v>333</v>
      </c>
      <c r="E15" s="7">
        <v>300</v>
      </c>
      <c r="F15" s="7">
        <v>300</v>
      </c>
      <c r="G15" s="7">
        <v>300</v>
      </c>
      <c r="H15" s="49">
        <v>300</v>
      </c>
      <c r="I15" s="7">
        <v>300</v>
      </c>
      <c r="J15" s="49">
        <v>300</v>
      </c>
      <c r="K15" s="7">
        <v>300</v>
      </c>
      <c r="L15" t="s">
        <v>123</v>
      </c>
      <c r="N15" s="42" t="s">
        <v>284</v>
      </c>
      <c r="O15" s="36">
        <f>2*O14</f>
        <v>1.7500000000000002</v>
      </c>
      <c r="P15" s="43">
        <f>2*P14</f>
        <v>1.6719430154333204</v>
      </c>
      <c r="Q15" s="36"/>
      <c r="R15">
        <v>26</v>
      </c>
      <c r="S15">
        <v>259</v>
      </c>
      <c r="T15">
        <v>105</v>
      </c>
      <c r="U15">
        <v>2.5999999999999999E-2</v>
      </c>
      <c r="V15">
        <v>45.1</v>
      </c>
      <c r="W15">
        <f>S15/500</f>
        <v>0.51800000000000002</v>
      </c>
      <c r="X15" s="1">
        <f>S15/300</f>
        <v>0.86333333333333329</v>
      </c>
      <c r="Y15" s="2">
        <f>U15*25.4</f>
        <v>0.66039999999999999</v>
      </c>
      <c r="AB15" s="5">
        <f>AB$36/$Y15</f>
        <v>119.81817456768147</v>
      </c>
      <c r="AC15" s="5">
        <f>AC$36/$Y15</f>
        <v>106.27184016374098</v>
      </c>
      <c r="AE15" s="32">
        <f t="shared" si="2"/>
        <v>0.14796587926509186</v>
      </c>
      <c r="AF15" s="4">
        <f>$AE15*AB$38</f>
        <v>0.4877405196850394</v>
      </c>
      <c r="AG15" s="4">
        <f>$AE15*AC$38</f>
        <v>0.43384779527559059</v>
      </c>
    </row>
    <row r="16" spans="1:33" ht="17" thickBot="1" x14ac:dyDescent="0.25">
      <c r="B16" s="5">
        <f>B15/B3*B6</f>
        <v>90</v>
      </c>
      <c r="C16" s="5">
        <f>C15/C3*C6</f>
        <v>90.225563909774436</v>
      </c>
      <c r="D16" s="50">
        <f>D15/D3*D6</f>
        <v>100.15037593984962</v>
      </c>
      <c r="E16" s="5">
        <f>E15/E3*E6</f>
        <v>90</v>
      </c>
      <c r="F16" s="5">
        <f>F15/F3*F6</f>
        <v>90</v>
      </c>
      <c r="G16" s="5">
        <f>G15/G3*G6</f>
        <v>67.669172932330824</v>
      </c>
      <c r="H16" s="50">
        <f>H15/H3*H6</f>
        <v>67.669172932330824</v>
      </c>
      <c r="I16" s="5">
        <f>I15/I3*I6</f>
        <v>67.669172932330824</v>
      </c>
      <c r="J16" s="50">
        <f>J15/J3*J6</f>
        <v>60.810810810810807</v>
      </c>
      <c r="K16" s="5">
        <f>K15/K3*K6</f>
        <v>90.225563909774436</v>
      </c>
      <c r="L16" t="s">
        <v>315</v>
      </c>
      <c r="N16" s="44"/>
      <c r="O16" s="45"/>
      <c r="P16" s="46"/>
      <c r="Q16" s="47"/>
      <c r="R16">
        <v>24</v>
      </c>
      <c r="S16">
        <v>408</v>
      </c>
      <c r="T16">
        <v>165</v>
      </c>
      <c r="U16">
        <v>3.2000000000000001E-2</v>
      </c>
      <c r="V16">
        <v>28.7</v>
      </c>
      <c r="W16">
        <f>S16/500</f>
        <v>0.81599999999999995</v>
      </c>
      <c r="X16" s="1">
        <f>S16/300</f>
        <v>1.36</v>
      </c>
      <c r="Y16" s="2">
        <f>U16*25.4</f>
        <v>0.81279999999999997</v>
      </c>
      <c r="AB16" s="5">
        <f>AB$36/$Y16</f>
        <v>97.352266836241185</v>
      </c>
      <c r="AC16" s="5">
        <f>AC$36/$Y16</f>
        <v>86.34587013303954</v>
      </c>
      <c r="AE16" s="32">
        <f t="shared" si="2"/>
        <v>9.416010498687663E-2</v>
      </c>
      <c r="AF16" s="4">
        <f>$AE16*AB$38</f>
        <v>0.31038033070866139</v>
      </c>
      <c r="AG16" s="4">
        <f>$AE16*AC$38</f>
        <v>0.27608496062992127</v>
      </c>
    </row>
    <row r="17" spans="2:30" x14ac:dyDescent="0.2">
      <c r="B17" s="2">
        <f>B11/B15</f>
        <v>0.33333333333333331</v>
      </c>
      <c r="C17" s="2">
        <f>C11/C15</f>
        <v>0.53333333333333333</v>
      </c>
      <c r="D17" s="52">
        <f>D11/D15</f>
        <v>0.75075075075075071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52">
        <f>H11/H15</f>
        <v>0.43333333333333335</v>
      </c>
      <c r="I17" s="2">
        <f>I11/I15</f>
        <v>0.53333333333333333</v>
      </c>
      <c r="J17" s="5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Y17" s="2">
        <f>U17*25.4</f>
        <v>0.99059999999999993</v>
      </c>
      <c r="AB17" s="5">
        <f>AB$36/$Y17</f>
        <v>79.878783045120983</v>
      </c>
      <c r="AC17" s="5">
        <f>AC$36/$Y17</f>
        <v>70.847893442493984</v>
      </c>
    </row>
    <row r="18" spans="2:30" x14ac:dyDescent="0.2">
      <c r="D18" s="49"/>
      <c r="H18" s="49"/>
      <c r="J18" s="49"/>
      <c r="T18">
        <v>330</v>
      </c>
      <c r="U18">
        <v>4.2000000000000003E-2</v>
      </c>
      <c r="Y18" s="2">
        <f>U18*25.4</f>
        <v>1.0668</v>
      </c>
      <c r="AB18" s="5">
        <f>AB$36/$Y18</f>
        <v>74.173155684755187</v>
      </c>
      <c r="AC18" s="5">
        <f>AC$36/$Y18</f>
        <v>65.787329625172987</v>
      </c>
    </row>
    <row r="19" spans="2:30" x14ac:dyDescent="0.2">
      <c r="B19" s="7">
        <v>300</v>
      </c>
      <c r="C19" s="7">
        <v>300</v>
      </c>
      <c r="D19" s="49">
        <v>300</v>
      </c>
      <c r="E19" s="7">
        <v>300</v>
      </c>
      <c r="F19" s="7">
        <v>300</v>
      </c>
      <c r="G19" s="7">
        <v>300</v>
      </c>
      <c r="H19" s="49">
        <v>300</v>
      </c>
      <c r="I19" s="7">
        <v>300</v>
      </c>
      <c r="J19" s="49">
        <v>300</v>
      </c>
      <c r="K19" s="7">
        <v>300</v>
      </c>
      <c r="L19" t="s">
        <v>305</v>
      </c>
      <c r="T19">
        <v>420</v>
      </c>
      <c r="U19">
        <v>4.8000000000000001E-2</v>
      </c>
      <c r="Y19" s="2">
        <f t="shared" ref="Y19:Y20" si="3">U19*25.4</f>
        <v>1.2192000000000001</v>
      </c>
      <c r="AB19" s="5">
        <f>AB$36/$Y19</f>
        <v>64.901511224160785</v>
      </c>
      <c r="AC19" s="5">
        <f>AC$36/$Y19</f>
        <v>57.56391342202636</v>
      </c>
    </row>
    <row r="20" spans="2:30" x14ac:dyDescent="0.2">
      <c r="D20" s="49"/>
      <c r="H20" s="49"/>
      <c r="J20" s="49"/>
      <c r="R20" s="31"/>
      <c r="T20">
        <v>660</v>
      </c>
      <c r="U20">
        <v>6.2E-2</v>
      </c>
      <c r="Y20" s="2">
        <f t="shared" si="3"/>
        <v>1.5748</v>
      </c>
      <c r="AB20" s="5">
        <f>AB$36/$Y20</f>
        <v>50.246331270318031</v>
      </c>
      <c r="AC20" s="5">
        <f>AC$36/$Y20</f>
        <v>44.565610391246217</v>
      </c>
    </row>
    <row r="21" spans="2:30" x14ac:dyDescent="0.2">
      <c r="B21">
        <f>B15*B19</f>
        <v>90000</v>
      </c>
      <c r="C21">
        <f>C15*C19</f>
        <v>90000</v>
      </c>
      <c r="D21" s="49">
        <f>D15*D19</f>
        <v>99900</v>
      </c>
      <c r="E21">
        <f>E15*E19</f>
        <v>90000</v>
      </c>
      <c r="F21">
        <f>F15*F19</f>
        <v>90000</v>
      </c>
      <c r="G21">
        <f>G15*G19</f>
        <v>90000</v>
      </c>
      <c r="H21" s="49">
        <f>H15*H19</f>
        <v>90000</v>
      </c>
      <c r="I21">
        <f>I15*I19</f>
        <v>90000</v>
      </c>
      <c r="J21" s="49">
        <f>J15*J19</f>
        <v>90000</v>
      </c>
      <c r="K21">
        <f>K15*K19</f>
        <v>90000</v>
      </c>
      <c r="L21" t="s">
        <v>126</v>
      </c>
      <c r="M21" t="s">
        <v>106</v>
      </c>
    </row>
    <row r="22" spans="2:30" x14ac:dyDescent="0.2">
      <c r="B22" s="2">
        <f>B11/B21*1000</f>
        <v>1.1111111111111112</v>
      </c>
      <c r="C22" s="2">
        <f t="shared" ref="C22:K22" si="4">C11/C21*1000</f>
        <v>1.7777777777777779</v>
      </c>
      <c r="D22" s="52">
        <f t="shared" si="4"/>
        <v>2.5025025025025025</v>
      </c>
      <c r="E22" s="2">
        <f t="shared" si="4"/>
        <v>1.1111111111111112</v>
      </c>
      <c r="F22" s="2">
        <f t="shared" si="4"/>
        <v>1.4444444444444444</v>
      </c>
      <c r="G22" s="2">
        <f t="shared" si="4"/>
        <v>1.1111111111111112</v>
      </c>
      <c r="H22" s="52">
        <f t="shared" si="4"/>
        <v>1.4444444444444444</v>
      </c>
      <c r="I22" s="2">
        <f t="shared" si="4"/>
        <v>1.7777777777777779</v>
      </c>
      <c r="J22" s="52">
        <f t="shared" si="4"/>
        <v>1.7777777777777779</v>
      </c>
      <c r="K22" s="2">
        <f t="shared" si="4"/>
        <v>1.7777777777777779</v>
      </c>
      <c r="L22" t="s">
        <v>130</v>
      </c>
      <c r="M22" t="s">
        <v>180</v>
      </c>
      <c r="R22" s="31"/>
      <c r="T22" s="17" t="s">
        <v>326</v>
      </c>
      <c r="AA22" s="17" t="s">
        <v>317</v>
      </c>
    </row>
    <row r="23" spans="2:30" x14ac:dyDescent="0.2">
      <c r="D23" s="49"/>
      <c r="H23" s="49"/>
      <c r="J23" s="49"/>
      <c r="T23">
        <v>30</v>
      </c>
      <c r="AA23" t="s">
        <v>154</v>
      </c>
      <c r="AB23">
        <v>26</v>
      </c>
      <c r="AC23">
        <v>23</v>
      </c>
    </row>
    <row r="24" spans="2:30" x14ac:dyDescent="0.2">
      <c r="B24">
        <v>300</v>
      </c>
      <c r="C24">
        <v>300</v>
      </c>
      <c r="D24" s="49">
        <v>300</v>
      </c>
      <c r="E24">
        <v>300</v>
      </c>
      <c r="F24">
        <v>300</v>
      </c>
      <c r="G24">
        <v>300</v>
      </c>
      <c r="H24" s="49">
        <v>300</v>
      </c>
      <c r="I24">
        <v>300</v>
      </c>
      <c r="J24" s="49">
        <v>300</v>
      </c>
      <c r="K24">
        <v>300</v>
      </c>
      <c r="L24" t="s">
        <v>302</v>
      </c>
      <c r="R24" s="31"/>
      <c r="T24">
        <v>40</v>
      </c>
      <c r="U24">
        <v>1.7000000000000001E-2</v>
      </c>
      <c r="AA24" t="s">
        <v>152</v>
      </c>
      <c r="AB24">
        <v>45</v>
      </c>
      <c r="AC24">
        <v>37</v>
      </c>
    </row>
    <row r="25" spans="2:30" x14ac:dyDescent="0.2">
      <c r="B25">
        <v>300</v>
      </c>
      <c r="C25">
        <v>300</v>
      </c>
      <c r="D25" s="49">
        <v>300</v>
      </c>
      <c r="E25">
        <v>300</v>
      </c>
      <c r="F25">
        <v>300</v>
      </c>
      <c r="G25">
        <v>300</v>
      </c>
      <c r="H25" s="49">
        <v>300</v>
      </c>
      <c r="I25">
        <v>300</v>
      </c>
      <c r="J25" s="49">
        <v>300</v>
      </c>
      <c r="K25">
        <v>300</v>
      </c>
      <c r="L25" t="s">
        <v>303</v>
      </c>
      <c r="T25">
        <v>60</v>
      </c>
      <c r="U25">
        <v>1.9E-2</v>
      </c>
      <c r="AA25" t="s">
        <v>153</v>
      </c>
      <c r="AB25">
        <v>8</v>
      </c>
      <c r="AC25">
        <v>7</v>
      </c>
    </row>
    <row r="26" spans="2:30" x14ac:dyDescent="0.2">
      <c r="B26" s="4">
        <f>B24*B13</f>
        <v>1500</v>
      </c>
      <c r="C26" s="4">
        <f>C24*C13</f>
        <v>1804.5112781954886</v>
      </c>
      <c r="D26" s="51">
        <f>D24*D13</f>
        <v>2819.5488721804509</v>
      </c>
      <c r="E26" s="4">
        <f>E24*E13</f>
        <v>1500</v>
      </c>
      <c r="F26" s="4">
        <f>F24*F13</f>
        <v>1950</v>
      </c>
      <c r="G26" s="4">
        <f>G24*G13</f>
        <v>1127.8195488721803</v>
      </c>
      <c r="H26" s="51">
        <f>H24*H13</f>
        <v>1466.1654135338345</v>
      </c>
      <c r="I26" s="4">
        <f>I24*I13</f>
        <v>1804.5112781954886</v>
      </c>
      <c r="J26" s="51">
        <f>J24*J13</f>
        <v>1621.6216216216217</v>
      </c>
      <c r="K26" s="4">
        <f>K24*K13</f>
        <v>1804.5112781954886</v>
      </c>
      <c r="L26" t="s">
        <v>127</v>
      </c>
      <c r="R26" s="31"/>
      <c r="T26">
        <v>66</v>
      </c>
      <c r="AA26" t="s">
        <v>242</v>
      </c>
      <c r="AB26">
        <v>1</v>
      </c>
      <c r="AC26">
        <v>1</v>
      </c>
      <c r="AD26" t="s">
        <v>321</v>
      </c>
    </row>
    <row r="27" spans="2:30" x14ac:dyDescent="0.2">
      <c r="B27">
        <f>B25*B17</f>
        <v>100</v>
      </c>
      <c r="C27">
        <f>C25*C17</f>
        <v>160</v>
      </c>
      <c r="D27" s="49">
        <f>D25*D17</f>
        <v>225.22522522522522</v>
      </c>
      <c r="E27">
        <f>E25*E17</f>
        <v>100</v>
      </c>
      <c r="F27">
        <f>F25*F17</f>
        <v>130</v>
      </c>
      <c r="G27">
        <f>G25*G17</f>
        <v>100</v>
      </c>
      <c r="H27" s="49">
        <f>H25*H17</f>
        <v>130</v>
      </c>
      <c r="I27">
        <f>I25*I17</f>
        <v>160</v>
      </c>
      <c r="J27" s="49">
        <f>J24*J17</f>
        <v>160</v>
      </c>
      <c r="K27">
        <f>K24*K17</f>
        <v>160</v>
      </c>
      <c r="L27" t="s">
        <v>128</v>
      </c>
      <c r="O27" t="s">
        <v>280</v>
      </c>
      <c r="T27">
        <v>100</v>
      </c>
      <c r="U27">
        <v>2.5999999999999999E-2</v>
      </c>
      <c r="V27">
        <v>2.7E-2</v>
      </c>
    </row>
    <row r="28" spans="2:30" x14ac:dyDescent="0.2">
      <c r="B28" s="2">
        <f>B24*(B22/1000)</f>
        <v>0.33333333333333331</v>
      </c>
      <c r="C28" s="2">
        <f t="shared" ref="C28:K28" si="5">C24*(C22/1000)</f>
        <v>0.53333333333333333</v>
      </c>
      <c r="D28" s="52">
        <f t="shared" si="5"/>
        <v>0.75075075075075071</v>
      </c>
      <c r="E28" s="2">
        <f t="shared" si="5"/>
        <v>0.33333333333333331</v>
      </c>
      <c r="F28" s="2">
        <f t="shared" si="5"/>
        <v>0.43333333333333329</v>
      </c>
      <c r="G28" s="2">
        <f t="shared" si="5"/>
        <v>0.33333333333333331</v>
      </c>
      <c r="H28" s="52">
        <f t="shared" si="5"/>
        <v>0.43333333333333329</v>
      </c>
      <c r="I28" s="2">
        <f t="shared" si="5"/>
        <v>0.53333333333333333</v>
      </c>
      <c r="J28" s="52">
        <f t="shared" si="5"/>
        <v>0.53333333333333333</v>
      </c>
      <c r="K28" s="2">
        <f t="shared" si="5"/>
        <v>0.53333333333333333</v>
      </c>
      <c r="L28" t="s">
        <v>129</v>
      </c>
      <c r="R28" s="31"/>
      <c r="T28">
        <v>175</v>
      </c>
      <c r="U28">
        <v>3.2000000000000001E-2</v>
      </c>
      <c r="V28">
        <v>0.03</v>
      </c>
      <c r="AA28" t="s">
        <v>319</v>
      </c>
      <c r="AB28">
        <v>3.2000000000000001E-2</v>
      </c>
      <c r="AC28">
        <v>2.5999999999999999E-2</v>
      </c>
      <c r="AD28" t="s">
        <v>3</v>
      </c>
    </row>
    <row r="29" spans="2:30" x14ac:dyDescent="0.2">
      <c r="D29" s="49"/>
      <c r="H29" s="49"/>
      <c r="J29" s="49"/>
      <c r="T29">
        <v>420</v>
      </c>
      <c r="U29">
        <v>4.8000000000000001E-2</v>
      </c>
      <c r="AA29" t="s">
        <v>152</v>
      </c>
      <c r="AB29" s="1">
        <f>AB28*25.4</f>
        <v>0.81279999999999997</v>
      </c>
      <c r="AC29" s="1">
        <f>AC28*25.4</f>
        <v>0.66039999999999999</v>
      </c>
      <c r="AD29" t="s">
        <v>2</v>
      </c>
    </row>
    <row r="30" spans="2:30" x14ac:dyDescent="0.2">
      <c r="B30" s="4">
        <f t="shared" ref="B30:K30" si="6">1630/660</f>
        <v>2.4696969696969697</v>
      </c>
      <c r="C30" s="4">
        <f t="shared" si="6"/>
        <v>2.4696969696969697</v>
      </c>
      <c r="D30" s="51">
        <f t="shared" si="6"/>
        <v>2.4696969696969697</v>
      </c>
      <c r="E30" s="4">
        <f t="shared" si="6"/>
        <v>2.4696969696969697</v>
      </c>
      <c r="F30" s="4">
        <f t="shared" si="6"/>
        <v>2.4696969696969697</v>
      </c>
      <c r="G30" s="4">
        <f t="shared" si="6"/>
        <v>2.4696969696969697</v>
      </c>
      <c r="H30" s="51">
        <f t="shared" si="6"/>
        <v>2.4696969696969697</v>
      </c>
      <c r="I30" s="4">
        <f t="shared" si="6"/>
        <v>2.4696969696969697</v>
      </c>
      <c r="J30" s="51">
        <f t="shared" si="6"/>
        <v>2.4696969696969697</v>
      </c>
      <c r="K30" s="4">
        <f t="shared" si="6"/>
        <v>2.4696969696969697</v>
      </c>
      <c r="L30" t="s">
        <v>304</v>
      </c>
      <c r="R30" s="31"/>
      <c r="T30">
        <v>660</v>
      </c>
      <c r="U30">
        <v>6.2E-2</v>
      </c>
      <c r="AA30" t="s">
        <v>84</v>
      </c>
      <c r="AB30">
        <v>90</v>
      </c>
      <c r="AC30">
        <v>100</v>
      </c>
    </row>
    <row r="31" spans="2:30" x14ac:dyDescent="0.2">
      <c r="D31" s="49"/>
      <c r="H31" s="49"/>
      <c r="J31" s="49"/>
      <c r="T31">
        <v>1162</v>
      </c>
      <c r="U31">
        <v>8.2000000000000003E-2</v>
      </c>
      <c r="AA31" t="s">
        <v>318</v>
      </c>
      <c r="AB31">
        <f>(AB24-AB23)/2*AB25/100</f>
        <v>0.76</v>
      </c>
      <c r="AC31">
        <f>(AC24-AC23)/2*AC25/100</f>
        <v>0.49</v>
      </c>
      <c r="AD31" t="s">
        <v>17</v>
      </c>
    </row>
    <row r="32" spans="2:30" x14ac:dyDescent="0.2">
      <c r="B32" s="5">
        <f t="shared" ref="B32:K32" si="7">B26/B30</f>
        <v>607.36196319018404</v>
      </c>
      <c r="C32" s="5">
        <f t="shared" si="7"/>
        <v>730.66100834909355</v>
      </c>
      <c r="D32" s="50">
        <f t="shared" ref="D32" si="8">D26/D30</f>
        <v>1141.6578255454585</v>
      </c>
      <c r="E32" s="5">
        <f t="shared" si="7"/>
        <v>607.36196319018404</v>
      </c>
      <c r="F32" s="5">
        <f>F26/F30</f>
        <v>789.57055214723925</v>
      </c>
      <c r="G32" s="5">
        <f t="shared" ref="G32" si="9">G26/G30</f>
        <v>456.66313021818343</v>
      </c>
      <c r="H32" s="50">
        <f t="shared" si="7"/>
        <v>593.66206928363852</v>
      </c>
      <c r="I32" s="5">
        <f t="shared" si="7"/>
        <v>730.66100834909355</v>
      </c>
      <c r="J32" s="50">
        <f>J26/J30</f>
        <v>656.60752777317191</v>
      </c>
      <c r="K32" s="5">
        <f t="shared" si="7"/>
        <v>730.66100834909355</v>
      </c>
      <c r="L32" t="s">
        <v>132</v>
      </c>
      <c r="T32">
        <v>3000</v>
      </c>
      <c r="U32">
        <v>0.14000000000000001</v>
      </c>
      <c r="AA32" t="s">
        <v>268</v>
      </c>
      <c r="AB32" s="4">
        <f>PI() * (AB24-((AB24-AB23)/2)) /10 * AB31</f>
        <v>8.4760169793852622</v>
      </c>
      <c r="AC32" s="4">
        <f>PI() * (AC24-((AC24-AC23)/2)) /10 * AC31</f>
        <v>4.6181412007769955</v>
      </c>
      <c r="AD32" t="s">
        <v>21</v>
      </c>
    </row>
    <row r="33" spans="2:30" x14ac:dyDescent="0.2">
      <c r="B33" s="5">
        <f t="shared" ref="B33:K33" si="10">B27/B30</f>
        <v>40.490797546012267</v>
      </c>
      <c r="C33" s="5">
        <f t="shared" si="10"/>
        <v>64.785276073619627</v>
      </c>
      <c r="D33" s="50">
        <f t="shared" ref="D33" si="11">D27/D30</f>
        <v>91.195489968496105</v>
      </c>
      <c r="E33" s="5">
        <f t="shared" si="10"/>
        <v>40.490797546012267</v>
      </c>
      <c r="F33" s="5">
        <f>F27/F30</f>
        <v>52.638036809815951</v>
      </c>
      <c r="G33" s="5">
        <f t="shared" ref="G33" si="12">G27/G30</f>
        <v>40.490797546012267</v>
      </c>
      <c r="H33" s="50">
        <f t="shared" si="10"/>
        <v>52.638036809815951</v>
      </c>
      <c r="I33" s="5">
        <f t="shared" si="10"/>
        <v>64.785276073619627</v>
      </c>
      <c r="J33" s="50">
        <f>J27/J30</f>
        <v>64.785276073619627</v>
      </c>
      <c r="K33" s="5">
        <f t="shared" si="10"/>
        <v>64.785276073619627</v>
      </c>
      <c r="L33" t="s">
        <v>133</v>
      </c>
      <c r="M33" t="s">
        <v>250</v>
      </c>
      <c r="AA33" t="s">
        <v>8</v>
      </c>
      <c r="AB33">
        <v>31.5</v>
      </c>
      <c r="AC33">
        <v>17</v>
      </c>
      <c r="AD33" t="s">
        <v>9</v>
      </c>
    </row>
    <row r="34" spans="2:30" x14ac:dyDescent="0.2">
      <c r="D34" s="49"/>
      <c r="H34" s="49"/>
      <c r="J34" s="49"/>
      <c r="AA34" t="s">
        <v>6</v>
      </c>
      <c r="AB34" s="2">
        <f>AB33/AB32</f>
        <v>3.7163682041472965</v>
      </c>
      <c r="AC34" s="2">
        <f>AC33/AC32</f>
        <v>3.6811347381798925</v>
      </c>
      <c r="AD34" t="s">
        <v>34</v>
      </c>
    </row>
    <row r="35" spans="2:30" x14ac:dyDescent="0.2">
      <c r="B35" t="s">
        <v>282</v>
      </c>
      <c r="C35" t="s">
        <v>282</v>
      </c>
      <c r="D35" s="49" t="s">
        <v>164</v>
      </c>
      <c r="E35" t="s">
        <v>282</v>
      </c>
      <c r="F35" t="s">
        <v>282</v>
      </c>
      <c r="G35" t="s">
        <v>285</v>
      </c>
      <c r="H35" s="49" t="s">
        <v>282</v>
      </c>
      <c r="I35" t="s">
        <v>282</v>
      </c>
      <c r="J35" s="49" t="s">
        <v>282</v>
      </c>
      <c r="K35" t="s">
        <v>282</v>
      </c>
      <c r="R35" t="s">
        <v>274</v>
      </c>
      <c r="AA35" t="s">
        <v>258</v>
      </c>
      <c r="AB35" s="2">
        <f>((AB24-AB23) + (2*AB25)  + (2*AB29))/10* AB26</f>
        <v>3.66256</v>
      </c>
      <c r="AC35" s="2">
        <f>((AC24-AC23) + (2*AC25)  + (2*AC29))/10* AC26</f>
        <v>2.93208</v>
      </c>
      <c r="AD35" t="s">
        <v>131</v>
      </c>
    </row>
    <row r="36" spans="2:30" x14ac:dyDescent="0.2">
      <c r="B36" t="s">
        <v>165</v>
      </c>
      <c r="C36" t="s">
        <v>314</v>
      </c>
      <c r="D36" s="49" t="s">
        <v>163</v>
      </c>
      <c r="E36" t="s">
        <v>165</v>
      </c>
      <c r="F36" t="s">
        <v>314</v>
      </c>
      <c r="G36" t="s">
        <v>165</v>
      </c>
      <c r="H36" s="49" t="s">
        <v>314</v>
      </c>
      <c r="I36" t="s">
        <v>314</v>
      </c>
      <c r="J36" s="49" t="s">
        <v>314</v>
      </c>
      <c r="K36" t="s">
        <v>314</v>
      </c>
      <c r="R36" t="s">
        <v>102</v>
      </c>
      <c r="S36" s="19">
        <v>1250000</v>
      </c>
      <c r="AA36" t="s">
        <v>259</v>
      </c>
      <c r="AB36" s="5">
        <f xml:space="preserve"> PI() * (AB23-AB29)</f>
        <v>79.127922484496835</v>
      </c>
      <c r="AC36" s="5">
        <f xml:space="preserve"> PI() * (AC23-AC29)</f>
        <v>70.181923244134538</v>
      </c>
      <c r="AD36" t="s">
        <v>2</v>
      </c>
    </row>
    <row r="37" spans="2:30" x14ac:dyDescent="0.2">
      <c r="R37" t="s">
        <v>275</v>
      </c>
      <c r="S37">
        <v>0.9</v>
      </c>
      <c r="AA37" t="s">
        <v>320</v>
      </c>
      <c r="AB37" s="20">
        <f>(AB29*AB30)/AB36</f>
        <v>0.92447770272664909</v>
      </c>
      <c r="AC37" s="20">
        <f>(AC29*AC30)/AC36</f>
        <v>0.94098304730512339</v>
      </c>
    </row>
    <row r="38" spans="2:30" x14ac:dyDescent="0.2">
      <c r="M38" s="17" t="s">
        <v>296</v>
      </c>
      <c r="O38" s="2">
        <v>14.8</v>
      </c>
      <c r="AA38" t="s">
        <v>264</v>
      </c>
      <c r="AB38" s="2">
        <f>AB30*AB35 /100</f>
        <v>3.2963040000000001</v>
      </c>
      <c r="AC38" s="2">
        <f>AC30*AC35 /100</f>
        <v>2.9320800000000005</v>
      </c>
      <c r="AD38" t="s">
        <v>322</v>
      </c>
    </row>
    <row r="39" spans="2:30" x14ac:dyDescent="0.2">
      <c r="L39" s="34"/>
      <c r="M39">
        <v>6</v>
      </c>
      <c r="N39" t="s">
        <v>292</v>
      </c>
      <c r="O39" s="2"/>
      <c r="R39" t="s">
        <v>276</v>
      </c>
      <c r="S39" s="5">
        <f>3/(0.01*(1-S37))</f>
        <v>3000.0000000000005</v>
      </c>
      <c r="T39" t="s">
        <v>267</v>
      </c>
      <c r="AA39" t="s">
        <v>265</v>
      </c>
      <c r="AB39" s="5">
        <f>AB38*100 / (2.54 * 12)</f>
        <v>10.814645669291339</v>
      </c>
      <c r="AC39" s="5">
        <f>AC38*100 / (2.54 * 12)</f>
        <v>9.6196850393700792</v>
      </c>
      <c r="AD39" t="s">
        <v>323</v>
      </c>
    </row>
    <row r="40" spans="2:30" x14ac:dyDescent="0.2">
      <c r="M40">
        <v>24</v>
      </c>
      <c r="N40" t="s">
        <v>293</v>
      </c>
      <c r="O40" s="2">
        <f>(M40*M41)/(M39/2)</f>
        <v>32</v>
      </c>
      <c r="R40" t="s">
        <v>277</v>
      </c>
      <c r="S40" s="33">
        <f>(1.6*S37)/(S39*S36)</f>
        <v>3.8400000000000002E-10</v>
      </c>
      <c r="T40" t="s">
        <v>278</v>
      </c>
      <c r="AA40" t="s">
        <v>324</v>
      </c>
      <c r="AB40">
        <v>1.5</v>
      </c>
      <c r="AC40">
        <v>1.5</v>
      </c>
      <c r="AD40" t="s">
        <v>131</v>
      </c>
    </row>
    <row r="41" spans="2:30" x14ac:dyDescent="0.2">
      <c r="M41">
        <v>4</v>
      </c>
      <c r="N41" t="s">
        <v>288</v>
      </c>
      <c r="O41" s="2"/>
      <c r="AB41" s="5">
        <f>AB38*100/(PI() * $AB40)</f>
        <v>69.949743404478269</v>
      </c>
      <c r="AC41" s="5">
        <f>AC38*100/(PI() * $AB40)</f>
        <v>62.22067007211794</v>
      </c>
      <c r="AD41" t="s">
        <v>84</v>
      </c>
    </row>
    <row r="42" spans="2:30" x14ac:dyDescent="0.2">
      <c r="M42">
        <v>1</v>
      </c>
      <c r="N42" t="s">
        <v>289</v>
      </c>
      <c r="O42" s="2"/>
      <c r="AA42" t="s">
        <v>266</v>
      </c>
      <c r="AB42" s="5">
        <f>AB39*3</f>
        <v>32.44393700787402</v>
      </c>
      <c r="AC42" s="5">
        <f>AC39*3</f>
        <v>28.859055118110238</v>
      </c>
      <c r="AD42" t="s">
        <v>269</v>
      </c>
    </row>
    <row r="43" spans="2:30" x14ac:dyDescent="0.2">
      <c r="M43" t="s">
        <v>290</v>
      </c>
      <c r="N43" t="s">
        <v>291</v>
      </c>
      <c r="O43" s="2">
        <f>O38*O40</f>
        <v>473.6</v>
      </c>
      <c r="R43" t="s">
        <v>274</v>
      </c>
    </row>
    <row r="44" spans="2:30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19">
        <v>1200000</v>
      </c>
      <c r="V44" t="s">
        <v>276</v>
      </c>
      <c r="W44">
        <v>5000</v>
      </c>
      <c r="X44" t="s">
        <v>267</v>
      </c>
      <c r="AB44" s="4">
        <f>AB41*AB28</f>
        <v>2.2383917889433045</v>
      </c>
      <c r="AC44" s="4">
        <f>AC41*AC28</f>
        <v>1.6177374218750664</v>
      </c>
      <c r="AD44" t="s">
        <v>273</v>
      </c>
    </row>
    <row r="45" spans="2:30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275</v>
      </c>
      <c r="S45">
        <v>0.88</v>
      </c>
      <c r="V45" t="s">
        <v>277</v>
      </c>
      <c r="W45" s="19">
        <v>3.9E-10</v>
      </c>
      <c r="X45" t="s">
        <v>278</v>
      </c>
    </row>
    <row r="46" spans="2:30" x14ac:dyDescent="0.2">
      <c r="M46">
        <f>M45*M42</f>
        <v>1.5748</v>
      </c>
      <c r="N46">
        <f>N45*M41</f>
        <v>1.9303999999999999</v>
      </c>
      <c r="O46" s="2"/>
      <c r="V46" t="s">
        <v>275</v>
      </c>
      <c r="W46" s="2">
        <f>1-(300/W44)</f>
        <v>0.94</v>
      </c>
      <c r="X46" t="s">
        <v>279</v>
      </c>
    </row>
    <row r="47" spans="2:30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276</v>
      </c>
      <c r="S47" s="5">
        <f>3/(0.01*(1-S45))</f>
        <v>2500</v>
      </c>
      <c r="T47" t="s">
        <v>267</v>
      </c>
      <c r="V47" t="s">
        <v>102</v>
      </c>
      <c r="W47" s="19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295</v>
      </c>
    </row>
    <row r="48" spans="2:30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277</v>
      </c>
      <c r="S48" s="33">
        <f>(1.6*S45)/(S47*S44)</f>
        <v>4.6933333333333337E-10</v>
      </c>
      <c r="T48" t="s">
        <v>278</v>
      </c>
      <c r="W48" s="5">
        <f>1/W47*1000000000</f>
        <v>1296.5425531914896</v>
      </c>
      <c r="X48" t="s">
        <v>294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286</v>
      </c>
      <c r="O50" s="2"/>
    </row>
    <row r="51" spans="12:26" x14ac:dyDescent="0.2">
      <c r="M51">
        <f>M46+N46</f>
        <v>3.5051999999999999</v>
      </c>
      <c r="N51" t="s">
        <v>287</v>
      </c>
      <c r="O51" s="2"/>
      <c r="R51" t="s">
        <v>276</v>
      </c>
      <c r="S51">
        <v>2500</v>
      </c>
      <c r="T51" t="s">
        <v>267</v>
      </c>
      <c r="V51" t="s">
        <v>276</v>
      </c>
      <c r="W51">
        <v>3500</v>
      </c>
      <c r="X51" t="s">
        <v>267</v>
      </c>
    </row>
    <row r="52" spans="12:26" x14ac:dyDescent="0.2">
      <c r="O52" s="2"/>
      <c r="R52" t="s">
        <v>277</v>
      </c>
      <c r="S52" s="19">
        <v>4.7000000000000003E-10</v>
      </c>
      <c r="T52" t="s">
        <v>278</v>
      </c>
      <c r="V52" t="s">
        <v>277</v>
      </c>
      <c r="W52" s="19">
        <v>3.9E-10</v>
      </c>
      <c r="X52" t="s">
        <v>278</v>
      </c>
    </row>
    <row r="53" spans="12:26" x14ac:dyDescent="0.2">
      <c r="O53" s="2"/>
      <c r="R53" t="s">
        <v>275</v>
      </c>
      <c r="S53" s="2">
        <f>1-(300/S51)</f>
        <v>0.88</v>
      </c>
      <c r="T53" t="s">
        <v>279</v>
      </c>
      <c r="V53" t="s">
        <v>275</v>
      </c>
      <c r="W53" s="2">
        <f>1-(300/W51)</f>
        <v>0.91428571428571426</v>
      </c>
      <c r="X53" t="s">
        <v>279</v>
      </c>
    </row>
    <row r="54" spans="12:26" x14ac:dyDescent="0.2">
      <c r="M54">
        <v>0.70699999999999996</v>
      </c>
      <c r="O54" s="2"/>
      <c r="R54" t="s">
        <v>102</v>
      </c>
      <c r="S54" s="19">
        <f xml:space="preserve"> (1.6*S53)/(S51*S52)</f>
        <v>1198297.8723404256</v>
      </c>
      <c r="T54" t="s">
        <v>63</v>
      </c>
      <c r="V54" t="s">
        <v>102</v>
      </c>
      <c r="W54" s="19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295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294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276</v>
      </c>
      <c r="S57">
        <v>2700</v>
      </c>
      <c r="T57" t="s">
        <v>267</v>
      </c>
      <c r="V57" t="s">
        <v>276</v>
      </c>
      <c r="W57">
        <v>3000</v>
      </c>
      <c r="X57" t="s">
        <v>267</v>
      </c>
    </row>
    <row r="58" spans="12:26" x14ac:dyDescent="0.2">
      <c r="O58" s="2"/>
      <c r="R58" t="s">
        <v>277</v>
      </c>
      <c r="S58" s="19">
        <v>4.7000000000000003E-10</v>
      </c>
      <c r="T58" t="s">
        <v>278</v>
      </c>
      <c r="V58" t="s">
        <v>277</v>
      </c>
      <c r="W58" s="19">
        <v>3.9E-10</v>
      </c>
      <c r="X58" t="s">
        <v>278</v>
      </c>
    </row>
    <row r="59" spans="12:26" x14ac:dyDescent="0.2">
      <c r="M59" s="17" t="s">
        <v>297</v>
      </c>
      <c r="O59" s="2">
        <v>14.8</v>
      </c>
      <c r="R59" t="s">
        <v>275</v>
      </c>
      <c r="S59" s="2">
        <f>1-(300/S57)</f>
        <v>0.88888888888888884</v>
      </c>
      <c r="T59" t="s">
        <v>279</v>
      </c>
      <c r="V59" t="s">
        <v>275</v>
      </c>
      <c r="W59" s="2">
        <f>1-(300/W57)</f>
        <v>0.9</v>
      </c>
      <c r="X59" t="s">
        <v>279</v>
      </c>
    </row>
    <row r="60" spans="12:26" x14ac:dyDescent="0.2">
      <c r="L60" s="34"/>
      <c r="M60">
        <v>6</v>
      </c>
      <c r="N60" t="s">
        <v>292</v>
      </c>
      <c r="O60" s="2"/>
      <c r="R60" t="s">
        <v>102</v>
      </c>
      <c r="S60" s="19">
        <f xml:space="preserve"> (1.6*S59)/(S57*S58)</f>
        <v>1120742.4919008843</v>
      </c>
      <c r="T60" t="s">
        <v>63</v>
      </c>
      <c r="V60" t="s">
        <v>102</v>
      </c>
      <c r="W60" s="19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295</v>
      </c>
    </row>
    <row r="61" spans="12:26" x14ac:dyDescent="0.2">
      <c r="M61">
        <v>16</v>
      </c>
      <c r="N61" t="s">
        <v>293</v>
      </c>
      <c r="O61" s="2">
        <f>(M61*M62)/(M60/2)</f>
        <v>26.666666666666668</v>
      </c>
      <c r="W61" s="5">
        <f>1/W60*1000000000</f>
        <v>812.49999999999989</v>
      </c>
      <c r="X61" t="s">
        <v>294</v>
      </c>
    </row>
    <row r="62" spans="12:26" x14ac:dyDescent="0.2">
      <c r="M62">
        <v>5</v>
      </c>
      <c r="N62" t="s">
        <v>288</v>
      </c>
      <c r="O62" s="2"/>
    </row>
    <row r="63" spans="12:26" x14ac:dyDescent="0.2">
      <c r="M63">
        <v>1</v>
      </c>
      <c r="N63" t="s">
        <v>289</v>
      </c>
      <c r="O63" s="2"/>
      <c r="R63" t="s">
        <v>276</v>
      </c>
      <c r="S63">
        <v>3000</v>
      </c>
      <c r="T63" t="s">
        <v>267</v>
      </c>
      <c r="V63" t="s">
        <v>276</v>
      </c>
      <c r="W63">
        <v>2500</v>
      </c>
      <c r="X63" t="s">
        <v>267</v>
      </c>
    </row>
    <row r="64" spans="12:26" x14ac:dyDescent="0.2">
      <c r="M64" t="s">
        <v>290</v>
      </c>
      <c r="N64" t="s">
        <v>291</v>
      </c>
      <c r="O64" s="2">
        <f>O59*O61</f>
        <v>394.66666666666669</v>
      </c>
      <c r="R64" t="s">
        <v>277</v>
      </c>
      <c r="S64" s="19">
        <v>4.7000000000000003E-10</v>
      </c>
      <c r="T64" t="s">
        <v>278</v>
      </c>
      <c r="V64" t="s">
        <v>277</v>
      </c>
      <c r="W64" s="19">
        <v>3.9E-10</v>
      </c>
      <c r="X64" t="s">
        <v>278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275</v>
      </c>
      <c r="S65" s="2">
        <f>1-(300/S63)</f>
        <v>0.9</v>
      </c>
      <c r="T65" t="s">
        <v>279</v>
      </c>
      <c r="V65" t="s">
        <v>275</v>
      </c>
      <c r="W65" s="2">
        <f>1-(300/W63)</f>
        <v>0.88</v>
      </c>
      <c r="X65" t="s">
        <v>279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19">
        <f xml:space="preserve"> (1.6*S65)/(S63*S64)</f>
        <v>1021276.595744681</v>
      </c>
      <c r="T66" t="s">
        <v>63</v>
      </c>
      <c r="V66" t="s">
        <v>102</v>
      </c>
      <c r="W66" s="19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295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294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276</v>
      </c>
      <c r="S69">
        <v>2200</v>
      </c>
      <c r="T69" t="s">
        <v>267</v>
      </c>
    </row>
    <row r="70" spans="12:26" x14ac:dyDescent="0.2">
      <c r="O70" s="2"/>
      <c r="R70" t="s">
        <v>277</v>
      </c>
      <c r="S70" s="19">
        <v>4.7000000000000003E-10</v>
      </c>
      <c r="T70" t="s">
        <v>278</v>
      </c>
    </row>
    <row r="71" spans="12:26" x14ac:dyDescent="0.2">
      <c r="M71">
        <f>MAX(M60*M66,M61*N66)</f>
        <v>7.3152000000000008</v>
      </c>
      <c r="N71" t="s">
        <v>286</v>
      </c>
      <c r="O71" s="2"/>
      <c r="R71" t="s">
        <v>275</v>
      </c>
      <c r="S71" s="2">
        <f>1-(300/S69)</f>
        <v>0.86363636363636365</v>
      </c>
      <c r="T71" t="s">
        <v>279</v>
      </c>
    </row>
    <row r="72" spans="12:26" x14ac:dyDescent="0.2">
      <c r="M72">
        <f>M67+N67</f>
        <v>3.3782000000000005</v>
      </c>
      <c r="N72" t="s">
        <v>287</v>
      </c>
      <c r="O72" s="2"/>
      <c r="R72" t="s">
        <v>102</v>
      </c>
      <c r="S72" s="19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295</v>
      </c>
    </row>
    <row r="74" spans="12:26" x14ac:dyDescent="0.2">
      <c r="S74" s="19">
        <f>S71/S72</f>
        <v>6.4624999999999995E-7</v>
      </c>
    </row>
    <row r="75" spans="12:26" x14ac:dyDescent="0.2">
      <c r="M75">
        <v>0.70699999999999996</v>
      </c>
      <c r="N75" t="s">
        <v>300</v>
      </c>
    </row>
    <row r="76" spans="12:26" x14ac:dyDescent="0.2">
      <c r="M76">
        <v>0.42699999999999999</v>
      </c>
      <c r="N76" t="s">
        <v>301</v>
      </c>
    </row>
    <row r="77" spans="12:26" x14ac:dyDescent="0.2">
      <c r="M77">
        <f>M75-M76</f>
        <v>0.27999999999999997</v>
      </c>
      <c r="N77" t="s">
        <v>298</v>
      </c>
    </row>
    <row r="78" spans="12:26" x14ac:dyDescent="0.2">
      <c r="M78">
        <f>M77/2</f>
        <v>0.13999999999999999</v>
      </c>
      <c r="N78" t="s">
        <v>299</v>
      </c>
    </row>
    <row r="81" spans="11:14" x14ac:dyDescent="0.2">
      <c r="M81" s="17" t="s">
        <v>309</v>
      </c>
    </row>
    <row r="83" spans="11:14" x14ac:dyDescent="0.2">
      <c r="M83">
        <f xml:space="preserve"> 6.25 * 10^5</f>
        <v>625000</v>
      </c>
      <c r="N83" t="s">
        <v>310</v>
      </c>
    </row>
    <row r="84" spans="11:14" x14ac:dyDescent="0.2">
      <c r="M84">
        <v>15</v>
      </c>
      <c r="N84" t="s">
        <v>313</v>
      </c>
    </row>
    <row r="85" spans="11:14" x14ac:dyDescent="0.2">
      <c r="M85">
        <v>300</v>
      </c>
      <c r="N85" t="s">
        <v>100</v>
      </c>
    </row>
    <row r="86" spans="11:14" x14ac:dyDescent="0.2">
      <c r="M86" s="5">
        <f>2*PI()*M83</f>
        <v>3926990.8169872416</v>
      </c>
      <c r="N86" t="s">
        <v>311</v>
      </c>
    </row>
    <row r="87" spans="11:14" x14ac:dyDescent="0.2">
      <c r="M87" s="5">
        <f>1/(M86*(M84* 10^-12))</f>
        <v>16976.5272631355</v>
      </c>
      <c r="N87" t="s">
        <v>83</v>
      </c>
    </row>
    <row r="88" spans="11:14" x14ac:dyDescent="0.2">
      <c r="M88" s="1">
        <f>M85/M87</f>
        <v>1.767145867644259E-2</v>
      </c>
      <c r="N88" t="s">
        <v>307</v>
      </c>
    </row>
    <row r="89" spans="11:14" x14ac:dyDescent="0.2">
      <c r="M89" s="4">
        <f>M85*M88</f>
        <v>5.3014376029327774</v>
      </c>
      <c r="N89" t="s">
        <v>312</v>
      </c>
    </row>
    <row r="92" spans="11:14" x14ac:dyDescent="0.2">
      <c r="K92">
        <v>13.33</v>
      </c>
      <c r="L92" t="s">
        <v>100</v>
      </c>
    </row>
    <row r="93" spans="11:14" x14ac:dyDescent="0.2">
      <c r="K93">
        <v>0.76</v>
      </c>
      <c r="L93" t="s">
        <v>101</v>
      </c>
    </row>
    <row r="94" spans="11:14" x14ac:dyDescent="0.2">
      <c r="K94">
        <v>625000</v>
      </c>
      <c r="L94" t="s">
        <v>102</v>
      </c>
    </row>
    <row r="95" spans="11:14" x14ac:dyDescent="0.2">
      <c r="K95">
        <v>3</v>
      </c>
      <c r="L95" t="s">
        <v>103</v>
      </c>
    </row>
    <row r="96" spans="11:14" x14ac:dyDescent="0.2">
      <c r="K96">
        <v>4</v>
      </c>
      <c r="L96" t="s">
        <v>104</v>
      </c>
    </row>
    <row r="97" spans="11:12" x14ac:dyDescent="0.2">
      <c r="K97" s="5">
        <f t="shared" ref="K97" si="13">(K92*10^8)/(K93*K94*K95*K96)</f>
        <v>233.85964912280701</v>
      </c>
      <c r="L97" t="s">
        <v>99</v>
      </c>
    </row>
    <row r="98" spans="11:12" x14ac:dyDescent="0.2">
      <c r="K98" s="4">
        <f t="shared" ref="K98" si="14">K97/10</f>
        <v>23.385964912280702</v>
      </c>
      <c r="L98" t="s">
        <v>99</v>
      </c>
    </row>
    <row r="100" spans="11:12" x14ac:dyDescent="0.2">
      <c r="K100" s="7">
        <v>400</v>
      </c>
      <c r="L100" t="s">
        <v>121</v>
      </c>
    </row>
    <row r="101" spans="11:12" x14ac:dyDescent="0.2">
      <c r="K101" s="2">
        <f>K100/K92</f>
        <v>30.007501875468868</v>
      </c>
      <c r="L101" t="s">
        <v>122</v>
      </c>
    </row>
    <row r="102" spans="11:12" x14ac:dyDescent="0.2">
      <c r="K102" s="2">
        <f>K101/2</f>
        <v>15.003750937734434</v>
      </c>
      <c r="L102" t="s">
        <v>124</v>
      </c>
    </row>
    <row r="104" spans="11:12" x14ac:dyDescent="0.2">
      <c r="K104" s="7">
        <v>300</v>
      </c>
      <c r="L104" t="s">
        <v>123</v>
      </c>
    </row>
    <row r="105" spans="11:12" x14ac:dyDescent="0.2">
      <c r="K105" s="5">
        <f>K104/K92*K95</f>
        <v>67.516879219804949</v>
      </c>
      <c r="L105" t="s">
        <v>315</v>
      </c>
    </row>
    <row r="106" spans="11:12" x14ac:dyDescent="0.2">
      <c r="K106" s="2">
        <f>K100/K104</f>
        <v>1.3333333333333333</v>
      </c>
      <c r="L106" t="s">
        <v>125</v>
      </c>
    </row>
    <row r="108" spans="11:12" x14ac:dyDescent="0.2">
      <c r="K108" s="7">
        <v>400</v>
      </c>
      <c r="L108" t="s">
        <v>305</v>
      </c>
    </row>
    <row r="110" spans="11:12" x14ac:dyDescent="0.2">
      <c r="K110">
        <f>K104*K108</f>
        <v>120000</v>
      </c>
      <c r="L110" t="s">
        <v>126</v>
      </c>
    </row>
    <row r="111" spans="11:12" x14ac:dyDescent="0.2">
      <c r="K111" s="2">
        <f t="shared" ref="K111" si="15">K100/K110*1000</f>
        <v>3.3333333333333335</v>
      </c>
      <c r="L111" t="s">
        <v>130</v>
      </c>
    </row>
    <row r="113" spans="11:12" x14ac:dyDescent="0.2">
      <c r="K113">
        <v>300</v>
      </c>
      <c r="L113" t="s">
        <v>302</v>
      </c>
    </row>
    <row r="114" spans="11:12" x14ac:dyDescent="0.2">
      <c r="K114">
        <v>300</v>
      </c>
      <c r="L114" t="s">
        <v>303</v>
      </c>
    </row>
    <row r="115" spans="11:12" x14ac:dyDescent="0.2">
      <c r="K115" s="4">
        <f>K113*K102</f>
        <v>4501.12528132033</v>
      </c>
      <c r="L115" t="s">
        <v>127</v>
      </c>
    </row>
    <row r="116" spans="11:12" x14ac:dyDescent="0.2">
      <c r="K116">
        <f>K113*K106</f>
        <v>400</v>
      </c>
      <c r="L116" t="s">
        <v>128</v>
      </c>
    </row>
    <row r="117" spans="11:12" x14ac:dyDescent="0.2">
      <c r="K117" s="2">
        <f t="shared" ref="K117:L117" si="16">K113*(K111/1000)</f>
        <v>1</v>
      </c>
      <c r="L117" t="s">
        <v>129</v>
      </c>
    </row>
    <row r="119" spans="11:12" x14ac:dyDescent="0.2">
      <c r="K119" s="4">
        <f t="shared" ref="K119:L119" si="17">1630/660</f>
        <v>2.4696969696969697</v>
      </c>
      <c r="L119" t="s">
        <v>304</v>
      </c>
    </row>
    <row r="121" spans="11:12" x14ac:dyDescent="0.2">
      <c r="K121" s="5">
        <f t="shared" ref="K121:L121" si="18">K115/K119</f>
        <v>1822.5415249517901</v>
      </c>
      <c r="L121" t="s">
        <v>132</v>
      </c>
    </row>
    <row r="122" spans="11:12" x14ac:dyDescent="0.2">
      <c r="K122" s="5">
        <f t="shared" ref="K122:L122" si="19">K116/K119</f>
        <v>161.96319018404907</v>
      </c>
      <c r="L122" t="s">
        <v>133</v>
      </c>
    </row>
    <row r="124" spans="11:12" x14ac:dyDescent="0.2">
      <c r="K124" t="s">
        <v>172</v>
      </c>
    </row>
    <row r="125" spans="11:12" x14ac:dyDescent="0.2">
      <c r="K1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202</v>
      </c>
    </row>
    <row r="6" spans="3:11" x14ac:dyDescent="0.2">
      <c r="C6" t="s">
        <v>203</v>
      </c>
      <c r="H6" t="s">
        <v>181</v>
      </c>
      <c r="I6" t="s">
        <v>197</v>
      </c>
    </row>
    <row r="7" spans="3:11" ht="19" x14ac:dyDescent="0.25">
      <c r="C7" s="24" t="s">
        <v>188</v>
      </c>
      <c r="D7" s="24">
        <v>30</v>
      </c>
      <c r="E7" s="25" t="s">
        <v>189</v>
      </c>
      <c r="H7">
        <v>30</v>
      </c>
      <c r="I7">
        <v>0</v>
      </c>
    </row>
    <row r="8" spans="3:11" ht="19" x14ac:dyDescent="0.25">
      <c r="C8" s="24" t="s">
        <v>190</v>
      </c>
      <c r="D8" s="24">
        <v>0.30099999999999999</v>
      </c>
      <c r="E8" s="25" t="s">
        <v>131</v>
      </c>
      <c r="H8">
        <v>40</v>
      </c>
      <c r="I8">
        <v>100</v>
      </c>
    </row>
    <row r="9" spans="3:11" ht="19" x14ac:dyDescent="0.25">
      <c r="C9" s="26" t="s">
        <v>191</v>
      </c>
      <c r="D9" s="26">
        <v>21</v>
      </c>
      <c r="E9" s="25" t="s">
        <v>131</v>
      </c>
      <c r="H9">
        <v>50</v>
      </c>
      <c r="I9">
        <f>I10-I8</f>
        <v>200</v>
      </c>
    </row>
    <row r="10" spans="3:11" ht="19" x14ac:dyDescent="0.25">
      <c r="C10" s="26" t="s">
        <v>192</v>
      </c>
      <c r="D10" s="26">
        <v>2.5000000000000001E-2</v>
      </c>
      <c r="E10" s="25" t="s">
        <v>131</v>
      </c>
      <c r="H10">
        <v>60</v>
      </c>
      <c r="I10">
        <v>300</v>
      </c>
      <c r="J10">
        <f>I9/H9</f>
        <v>4</v>
      </c>
      <c r="K10" t="s">
        <v>200</v>
      </c>
    </row>
    <row r="11" spans="3:11" ht="19" x14ac:dyDescent="0.25">
      <c r="C11" s="27" t="s">
        <v>9</v>
      </c>
      <c r="D11" s="28">
        <f>D7*(1+(D8/SQRT(D10)))</f>
        <v>87.110734542640927</v>
      </c>
      <c r="E11" s="25" t="s">
        <v>189</v>
      </c>
      <c r="H11" t="s">
        <v>180</v>
      </c>
      <c r="I11" t="s">
        <v>197</v>
      </c>
    </row>
    <row r="12" spans="3:11" ht="19" x14ac:dyDescent="0.25">
      <c r="C12" s="27" t="s">
        <v>193</v>
      </c>
      <c r="D12" s="28">
        <f>D11*D10*LOG(D9/D10,2.718)</f>
        <v>14.665310181214844</v>
      </c>
      <c r="E12" s="25" t="s">
        <v>194</v>
      </c>
      <c r="H12">
        <v>0.1</v>
      </c>
      <c r="I12">
        <v>200</v>
      </c>
      <c r="J12">
        <f>I12/H12</f>
        <v>2000</v>
      </c>
      <c r="K12" t="s">
        <v>201</v>
      </c>
    </row>
    <row r="14" spans="3:11" x14ac:dyDescent="0.2">
      <c r="C14" t="s">
        <v>204</v>
      </c>
      <c r="H14" t="s">
        <v>121</v>
      </c>
    </row>
    <row r="15" spans="3:11" ht="19" x14ac:dyDescent="0.25">
      <c r="C15" s="24" t="s">
        <v>188</v>
      </c>
      <c r="D15" s="24">
        <v>30</v>
      </c>
      <c r="E15" s="25" t="s">
        <v>189</v>
      </c>
      <c r="H15">
        <f>H12*H9</f>
        <v>5</v>
      </c>
      <c r="I15">
        <v>200</v>
      </c>
      <c r="J15">
        <f>I15/H15</f>
        <v>40</v>
      </c>
      <c r="K15" t="s">
        <v>199</v>
      </c>
    </row>
    <row r="16" spans="3:11" ht="19" x14ac:dyDescent="0.25">
      <c r="C16" s="24" t="s">
        <v>190</v>
      </c>
      <c r="D16" s="24">
        <v>0.30099999999999999</v>
      </c>
      <c r="E16" s="25" t="s">
        <v>131</v>
      </c>
    </row>
    <row r="17" spans="3:10" ht="19" x14ac:dyDescent="0.25">
      <c r="C17" s="26" t="s">
        <v>191</v>
      </c>
      <c r="D17" s="26">
        <v>21</v>
      </c>
      <c r="E17" s="25" t="s">
        <v>131</v>
      </c>
    </row>
    <row r="18" spans="3:10" ht="19" x14ac:dyDescent="0.25">
      <c r="C18" s="26" t="s">
        <v>192</v>
      </c>
      <c r="D18" s="26">
        <v>0.6</v>
      </c>
      <c r="E18" s="25" t="s">
        <v>131</v>
      </c>
    </row>
    <row r="19" spans="3:10" ht="19" x14ac:dyDescent="0.25">
      <c r="C19" s="27" t="s">
        <v>9</v>
      </c>
      <c r="D19" s="28">
        <f>D15*(1+(D16/SQRT(D18)))</f>
        <v>41.657679872084323</v>
      </c>
      <c r="E19" s="25" t="s">
        <v>189</v>
      </c>
    </row>
    <row r="20" spans="3:10" ht="19" x14ac:dyDescent="0.25">
      <c r="C20" s="27" t="s">
        <v>193</v>
      </c>
      <c r="D20" s="28">
        <f>D19*D18*LOG(D17/D18,2.718)</f>
        <v>88.87374563714863</v>
      </c>
      <c r="E20" s="25" t="s">
        <v>194</v>
      </c>
      <c r="H20" t="s">
        <v>198</v>
      </c>
      <c r="I20" s="4">
        <f>D12*2</f>
        <v>29.330620362429688</v>
      </c>
      <c r="J20" t="s">
        <v>181</v>
      </c>
    </row>
    <row r="21" spans="3:10" x14ac:dyDescent="0.2">
      <c r="H21" t="s">
        <v>195</v>
      </c>
      <c r="I21" s="4">
        <f>D28</f>
        <v>205.59078000666895</v>
      </c>
      <c r="J21" t="s">
        <v>181</v>
      </c>
    </row>
    <row r="22" spans="3:10" x14ac:dyDescent="0.2">
      <c r="C22" t="s">
        <v>205</v>
      </c>
      <c r="H22" t="s">
        <v>196</v>
      </c>
      <c r="I22">
        <v>4</v>
      </c>
      <c r="J22" t="s">
        <v>200</v>
      </c>
    </row>
    <row r="23" spans="3:10" ht="19" x14ac:dyDescent="0.25">
      <c r="C23" s="24" t="s">
        <v>188</v>
      </c>
      <c r="D23" s="24">
        <v>30</v>
      </c>
      <c r="E23" s="25" t="s">
        <v>189</v>
      </c>
    </row>
    <row r="24" spans="3:10" ht="19" x14ac:dyDescent="0.25">
      <c r="C24" s="24" t="s">
        <v>190</v>
      </c>
      <c r="D24" s="24">
        <v>0.30099999999999999</v>
      </c>
      <c r="E24" s="25" t="s">
        <v>131</v>
      </c>
    </row>
    <row r="25" spans="3:10" ht="19" x14ac:dyDescent="0.25">
      <c r="C25" s="26" t="s">
        <v>191</v>
      </c>
      <c r="D25" s="26">
        <v>25</v>
      </c>
      <c r="E25" s="25" t="s">
        <v>131</v>
      </c>
      <c r="H25" t="s">
        <v>210</v>
      </c>
      <c r="I25" t="s">
        <v>145</v>
      </c>
    </row>
    <row r="26" spans="3:10" ht="19" x14ac:dyDescent="0.25">
      <c r="C26" s="26" t="s">
        <v>192</v>
      </c>
      <c r="D26" s="26">
        <v>2.5</v>
      </c>
      <c r="E26" s="25" t="s">
        <v>131</v>
      </c>
      <c r="H26" t="s">
        <v>207</v>
      </c>
      <c r="I26">
        <v>0.127</v>
      </c>
    </row>
    <row r="27" spans="3:10" ht="19" x14ac:dyDescent="0.25">
      <c r="C27" s="27" t="s">
        <v>9</v>
      </c>
      <c r="D27" s="28">
        <f>D23*(1+(D24/SQRT(D26)))</f>
        <v>35.711073454264096</v>
      </c>
      <c r="E27" s="25" t="s">
        <v>189</v>
      </c>
      <c r="H27" t="s">
        <v>208</v>
      </c>
      <c r="I27">
        <v>0.25459999999999999</v>
      </c>
    </row>
    <row r="28" spans="3:10" ht="19" x14ac:dyDescent="0.25">
      <c r="C28" s="27" t="s">
        <v>193</v>
      </c>
      <c r="D28" s="28">
        <f>D27*D26*LOG(D25/D26,2.718)</f>
        <v>205.59078000666895</v>
      </c>
      <c r="E28" s="25" t="s">
        <v>194</v>
      </c>
      <c r="H28" t="s">
        <v>209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206</v>
      </c>
      <c r="H30" t="s">
        <v>169</v>
      </c>
      <c r="I30">
        <v>0.51</v>
      </c>
    </row>
    <row r="31" spans="3:10" ht="19" x14ac:dyDescent="0.25">
      <c r="C31" s="24" t="s">
        <v>188</v>
      </c>
      <c r="D31" s="24">
        <v>30</v>
      </c>
      <c r="E31" s="25" t="s">
        <v>189</v>
      </c>
      <c r="H31" t="s">
        <v>211</v>
      </c>
      <c r="I31">
        <v>0.64380000000000004</v>
      </c>
    </row>
    <row r="32" spans="3:10" ht="19" x14ac:dyDescent="0.25">
      <c r="C32" s="24" t="s">
        <v>190</v>
      </c>
      <c r="D32" s="24">
        <v>0.30099999999999999</v>
      </c>
      <c r="E32" s="25" t="s">
        <v>131</v>
      </c>
    </row>
    <row r="33" spans="3:22" ht="19" x14ac:dyDescent="0.25">
      <c r="C33" s="26" t="s">
        <v>191</v>
      </c>
      <c r="D33" s="26">
        <v>25</v>
      </c>
      <c r="E33" s="25" t="s">
        <v>131</v>
      </c>
      <c r="J33" t="s">
        <v>212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6" t="s">
        <v>192</v>
      </c>
      <c r="D34" s="26">
        <v>5</v>
      </c>
      <c r="E34" s="25" t="s">
        <v>131</v>
      </c>
      <c r="J34" t="s">
        <v>219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7" t="s">
        <v>9</v>
      </c>
      <c r="D35" s="28">
        <f>D31*(1+(D32/SQRT(D34)))</f>
        <v>34.038338767364621</v>
      </c>
      <c r="E35" s="25" t="s">
        <v>189</v>
      </c>
      <c r="J35" t="s">
        <v>215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7" t="s">
        <v>193</v>
      </c>
      <c r="D36" s="28">
        <f>D35*D34*LOG(D33/D34,2.718)</f>
        <v>273.94136785339589</v>
      </c>
      <c r="E36" s="25" t="s">
        <v>194</v>
      </c>
      <c r="J36" t="s">
        <v>216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213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206</v>
      </c>
      <c r="J38" t="s">
        <v>214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4" t="s">
        <v>188</v>
      </c>
      <c r="D39" s="24">
        <v>30</v>
      </c>
      <c r="E39" s="25" t="s">
        <v>189</v>
      </c>
      <c r="J39" t="s">
        <v>217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4" t="s">
        <v>190</v>
      </c>
      <c r="D40" s="24">
        <v>0.30099999999999999</v>
      </c>
      <c r="E40" s="25" t="s">
        <v>131</v>
      </c>
      <c r="J40" t="s">
        <v>218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6" t="s">
        <v>191</v>
      </c>
      <c r="D41" s="26">
        <v>25</v>
      </c>
      <c r="E41" s="25" t="s">
        <v>131</v>
      </c>
    </row>
    <row r="42" spans="3:22" ht="19" x14ac:dyDescent="0.25">
      <c r="C42" s="26" t="s">
        <v>192</v>
      </c>
      <c r="D42" s="26">
        <v>1</v>
      </c>
      <c r="E42" s="25" t="s">
        <v>131</v>
      </c>
      <c r="J42" t="s">
        <v>240</v>
      </c>
    </row>
    <row r="43" spans="3:22" ht="19" x14ac:dyDescent="0.25">
      <c r="C43" s="27" t="s">
        <v>9</v>
      </c>
      <c r="D43" s="28">
        <f>D39*(1+(D40/SQRT(D42)))</f>
        <v>39.03</v>
      </c>
      <c r="E43" s="25" t="s">
        <v>189</v>
      </c>
      <c r="I43" s="29" t="s">
        <v>242</v>
      </c>
      <c r="J43" t="s">
        <v>212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7" t="s">
        <v>193</v>
      </c>
      <c r="D44" s="28">
        <f>D43*D42*LOG(D41/D42,2.718)</f>
        <v>125.64575093270162</v>
      </c>
      <c r="E44" s="25" t="s">
        <v>194</v>
      </c>
      <c r="J44" t="s">
        <v>243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29">
        <v>1.4</v>
      </c>
      <c r="J45" t="s">
        <v>219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241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238</v>
      </c>
      <c r="J47" t="s">
        <v>244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4" t="s">
        <v>188</v>
      </c>
      <c r="D48" s="24">
        <v>30</v>
      </c>
      <c r="E48" s="25" t="s">
        <v>189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4" t="s">
        <v>190</v>
      </c>
      <c r="D49" s="24">
        <v>0.30099999999999999</v>
      </c>
      <c r="E49" s="25" t="s">
        <v>131</v>
      </c>
    </row>
    <row r="50" spans="3:5" ht="19" x14ac:dyDescent="0.25">
      <c r="C50" s="26" t="s">
        <v>191</v>
      </c>
      <c r="D50" s="26">
        <v>3.7</v>
      </c>
      <c r="E50" s="25" t="s">
        <v>131</v>
      </c>
    </row>
    <row r="51" spans="3:5" ht="19" x14ac:dyDescent="0.25">
      <c r="C51" s="26" t="s">
        <v>192</v>
      </c>
      <c r="D51" s="26">
        <v>0.6</v>
      </c>
      <c r="E51" s="25" t="s">
        <v>131</v>
      </c>
    </row>
    <row r="52" spans="3:5" ht="19" x14ac:dyDescent="0.25">
      <c r="C52" s="27" t="s">
        <v>9</v>
      </c>
      <c r="D52" s="28">
        <f>D48*(1+(D49/SQRT(D51)))</f>
        <v>41.657679872084323</v>
      </c>
      <c r="E52" s="25" t="s">
        <v>189</v>
      </c>
    </row>
    <row r="53" spans="3:5" ht="19" x14ac:dyDescent="0.25">
      <c r="C53" s="27" t="s">
        <v>193</v>
      </c>
      <c r="D53" s="28">
        <f>D52*D51*LOG(D50/D51,2.718)</f>
        <v>45.473866968206337</v>
      </c>
      <c r="E53" s="25" t="s">
        <v>194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245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246</v>
      </c>
    </row>
    <row r="76" spans="10:14" x14ac:dyDescent="0.2">
      <c r="J76" t="s">
        <v>247</v>
      </c>
    </row>
    <row r="78" spans="10:14" x14ac:dyDescent="0.2">
      <c r="J78" t="s">
        <v>248</v>
      </c>
    </row>
    <row r="79" spans="10:14" x14ac:dyDescent="0.2">
      <c r="J79" t="s">
        <v>249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220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221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225</v>
      </c>
      <c r="D6" t="s">
        <v>226</v>
      </c>
      <c r="E6">
        <v>139439</v>
      </c>
    </row>
    <row r="7" spans="3:5" x14ac:dyDescent="0.2">
      <c r="C7" t="s">
        <v>225</v>
      </c>
      <c r="D7" t="s">
        <v>226</v>
      </c>
      <c r="E7">
        <v>139471</v>
      </c>
    </row>
    <row r="8" spans="3:5" x14ac:dyDescent="0.2">
      <c r="C8" t="s">
        <v>225</v>
      </c>
      <c r="D8" t="s">
        <v>226</v>
      </c>
      <c r="E8">
        <v>139341</v>
      </c>
    </row>
    <row r="9" spans="3:5" x14ac:dyDescent="0.2">
      <c r="C9" t="s">
        <v>225</v>
      </c>
      <c r="D9" t="s">
        <v>226</v>
      </c>
      <c r="E9">
        <v>139430</v>
      </c>
    </row>
    <row r="10" spans="3:5" x14ac:dyDescent="0.2">
      <c r="C10" t="s">
        <v>225</v>
      </c>
      <c r="D10" t="s">
        <v>226</v>
      </c>
      <c r="E10">
        <v>139415</v>
      </c>
    </row>
    <row r="11" spans="3:5" x14ac:dyDescent="0.2">
      <c r="C11" t="s">
        <v>225</v>
      </c>
      <c r="D11" t="s">
        <v>226</v>
      </c>
      <c r="E11">
        <v>139436</v>
      </c>
    </row>
    <row r="12" spans="3:5" x14ac:dyDescent="0.2">
      <c r="C12" t="s">
        <v>225</v>
      </c>
      <c r="D12" t="s">
        <v>226</v>
      </c>
      <c r="E12">
        <v>139456</v>
      </c>
    </row>
    <row r="13" spans="3:5" x14ac:dyDescent="0.2">
      <c r="C13" t="s">
        <v>225</v>
      </c>
      <c r="D13" t="s">
        <v>226</v>
      </c>
      <c r="E13">
        <v>139436</v>
      </c>
    </row>
    <row r="14" spans="3:5" x14ac:dyDescent="0.2">
      <c r="C14" t="s">
        <v>225</v>
      </c>
      <c r="D14" t="s">
        <v>226</v>
      </c>
      <c r="E14">
        <v>139461</v>
      </c>
    </row>
    <row r="15" spans="3:5" x14ac:dyDescent="0.2">
      <c r="C15" t="s">
        <v>225</v>
      </c>
      <c r="D15" t="s">
        <v>226</v>
      </c>
      <c r="E15">
        <v>139455</v>
      </c>
    </row>
    <row r="16" spans="3:5" x14ac:dyDescent="0.2">
      <c r="C16" t="s">
        <v>225</v>
      </c>
      <c r="D16" t="s">
        <v>226</v>
      </c>
      <c r="E16">
        <v>139435</v>
      </c>
    </row>
    <row r="17" spans="3:6" x14ac:dyDescent="0.2">
      <c r="C17" t="s">
        <v>225</v>
      </c>
      <c r="D17" t="s">
        <v>226</v>
      </c>
      <c r="E17">
        <v>139454</v>
      </c>
    </row>
    <row r="18" spans="3:6" x14ac:dyDescent="0.2">
      <c r="C18" t="s">
        <v>225</v>
      </c>
      <c r="D18" t="s">
        <v>226</v>
      </c>
      <c r="E18">
        <v>139432</v>
      </c>
    </row>
    <row r="19" spans="3:6" x14ac:dyDescent="0.2">
      <c r="C19" t="s">
        <v>225</v>
      </c>
      <c r="D19" t="s">
        <v>226</v>
      </c>
      <c r="E19">
        <v>139452</v>
      </c>
    </row>
    <row r="20" spans="3:6" x14ac:dyDescent="0.2">
      <c r="C20" t="s">
        <v>225</v>
      </c>
      <c r="D20" t="s">
        <v>226</v>
      </c>
      <c r="E20">
        <v>139444</v>
      </c>
    </row>
    <row r="21" spans="3:6" x14ac:dyDescent="0.2">
      <c r="C21" t="s">
        <v>225</v>
      </c>
      <c r="D21" t="s">
        <v>226</v>
      </c>
      <c r="E21">
        <v>139409</v>
      </c>
    </row>
    <row r="22" spans="3:6" x14ac:dyDescent="0.2">
      <c r="C22" t="s">
        <v>225</v>
      </c>
      <c r="D22" t="s">
        <v>226</v>
      </c>
      <c r="E22">
        <v>139463</v>
      </c>
    </row>
    <row r="23" spans="3:6" x14ac:dyDescent="0.2">
      <c r="C23" t="s">
        <v>225</v>
      </c>
      <c r="D23" t="s">
        <v>226</v>
      </c>
      <c r="E23">
        <v>139417</v>
      </c>
    </row>
    <row r="24" spans="3:6" x14ac:dyDescent="0.2">
      <c r="C24" t="s">
        <v>225</v>
      </c>
      <c r="D24" t="s">
        <v>226</v>
      </c>
      <c r="E24">
        <v>139439</v>
      </c>
    </row>
    <row r="25" spans="3:6" x14ac:dyDescent="0.2">
      <c r="C25" t="s">
        <v>225</v>
      </c>
      <c r="D25" t="s">
        <v>226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225</v>
      </c>
      <c r="D28" t="s">
        <v>226</v>
      </c>
      <c r="E28">
        <v>502546</v>
      </c>
    </row>
    <row r="29" spans="3:6" x14ac:dyDescent="0.2">
      <c r="C29" t="s">
        <v>225</v>
      </c>
      <c r="D29" t="s">
        <v>226</v>
      </c>
      <c r="E29">
        <v>502494</v>
      </c>
    </row>
    <row r="30" spans="3:6" x14ac:dyDescent="0.2">
      <c r="C30" t="s">
        <v>225</v>
      </c>
      <c r="D30" t="s">
        <v>226</v>
      </c>
      <c r="E30">
        <v>502548</v>
      </c>
    </row>
    <row r="31" spans="3:6" x14ac:dyDescent="0.2">
      <c r="C31" t="s">
        <v>225</v>
      </c>
      <c r="D31" t="s">
        <v>226</v>
      </c>
      <c r="E31">
        <v>502442</v>
      </c>
    </row>
    <row r="32" spans="3:6" x14ac:dyDescent="0.2">
      <c r="C32" t="s">
        <v>225</v>
      </c>
      <c r="D32" t="s">
        <v>226</v>
      </c>
      <c r="E32">
        <v>502516</v>
      </c>
    </row>
    <row r="33" spans="3:9" x14ac:dyDescent="0.2">
      <c r="C33" t="s">
        <v>225</v>
      </c>
      <c r="D33" t="s">
        <v>226</v>
      </c>
      <c r="E33">
        <v>502508</v>
      </c>
    </row>
    <row r="34" spans="3:9" x14ac:dyDescent="0.2">
      <c r="C34" t="s">
        <v>225</v>
      </c>
      <c r="D34" t="s">
        <v>226</v>
      </c>
      <c r="E34">
        <v>502500</v>
      </c>
    </row>
    <row r="35" spans="3:9" x14ac:dyDescent="0.2">
      <c r="C35" t="s">
        <v>225</v>
      </c>
      <c r="D35" t="s">
        <v>226</v>
      </c>
      <c r="E35">
        <v>502542</v>
      </c>
    </row>
    <row r="36" spans="3:9" x14ac:dyDescent="0.2">
      <c r="C36" t="s">
        <v>225</v>
      </c>
      <c r="D36" t="s">
        <v>226</v>
      </c>
      <c r="E36">
        <v>502523</v>
      </c>
    </row>
    <row r="37" spans="3:9" x14ac:dyDescent="0.2">
      <c r="C37" t="s">
        <v>225</v>
      </c>
      <c r="D37" t="s">
        <v>226</v>
      </c>
      <c r="E37">
        <v>502559</v>
      </c>
    </row>
    <row r="38" spans="3:9" x14ac:dyDescent="0.2">
      <c r="C38" t="s">
        <v>225</v>
      </c>
      <c r="D38" t="s">
        <v>226</v>
      </c>
      <c r="E38">
        <v>502555</v>
      </c>
    </row>
    <row r="39" spans="3:9" x14ac:dyDescent="0.2">
      <c r="C39" t="s">
        <v>225</v>
      </c>
      <c r="D39" t="s">
        <v>226</v>
      </c>
      <c r="E39">
        <v>502494</v>
      </c>
    </row>
    <row r="40" spans="3:9" x14ac:dyDescent="0.2">
      <c r="C40" t="s">
        <v>225</v>
      </c>
      <c r="D40" t="s">
        <v>226</v>
      </c>
      <c r="E40">
        <v>502541</v>
      </c>
    </row>
    <row r="41" spans="3:9" x14ac:dyDescent="0.2">
      <c r="C41" t="s">
        <v>225</v>
      </c>
      <c r="D41" t="s">
        <v>226</v>
      </c>
      <c r="E41">
        <v>502520</v>
      </c>
    </row>
    <row r="42" spans="3:9" x14ac:dyDescent="0.2">
      <c r="C42" t="s">
        <v>225</v>
      </c>
      <c r="D42" t="s">
        <v>226</v>
      </c>
      <c r="E42">
        <v>502450</v>
      </c>
    </row>
    <row r="43" spans="3:9" x14ac:dyDescent="0.2">
      <c r="C43" t="s">
        <v>225</v>
      </c>
      <c r="D43" t="s">
        <v>226</v>
      </c>
      <c r="E43">
        <v>502461</v>
      </c>
    </row>
    <row r="44" spans="3:9" x14ac:dyDescent="0.2">
      <c r="C44" t="s">
        <v>225</v>
      </c>
      <c r="D44" t="s">
        <v>226</v>
      </c>
      <c r="E44">
        <v>502502</v>
      </c>
    </row>
    <row r="45" spans="3:9" x14ac:dyDescent="0.2">
      <c r="C45" t="s">
        <v>225</v>
      </c>
      <c r="D45" t="s">
        <v>226</v>
      </c>
      <c r="E45">
        <v>502492</v>
      </c>
    </row>
    <row r="46" spans="3:9" x14ac:dyDescent="0.2">
      <c r="C46" t="s">
        <v>225</v>
      </c>
      <c r="D46" t="s">
        <v>226</v>
      </c>
      <c r="E46">
        <v>502460</v>
      </c>
    </row>
    <row r="47" spans="3:9" x14ac:dyDescent="0.2">
      <c r="C47" t="s">
        <v>225</v>
      </c>
      <c r="D47" t="s">
        <v>226</v>
      </c>
      <c r="E47">
        <v>502500</v>
      </c>
    </row>
    <row r="48" spans="3:9" x14ac:dyDescent="0.2">
      <c r="C48" t="s">
        <v>225</v>
      </c>
      <c r="D48" t="s">
        <v>226</v>
      </c>
      <c r="E48">
        <v>502515</v>
      </c>
      <c r="H48" s="5">
        <f>F25</f>
        <v>139432.70000000001</v>
      </c>
      <c r="I48" t="s">
        <v>220</v>
      </c>
    </row>
    <row r="49" spans="3:9" x14ac:dyDescent="0.2">
      <c r="C49" t="s">
        <v>225</v>
      </c>
      <c r="D49" t="s">
        <v>226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227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2022-12-21T14:03:32Z</dcterms:modified>
</cp:coreProperties>
</file>