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E996552D-D9F8-0B4B-9328-BAD9AB7964A8}" xr6:coauthVersionLast="36" xr6:coauthVersionMax="36" xr10:uidLastSave="{00000000-0000-0000-0000-000000000000}"/>
  <bookViews>
    <workbookView xWindow="3460" yWindow="500" windowWidth="25120" windowHeight="16820" tabRatio="500" xr2:uid="{00000000-000D-0000-FFFF-FFFF00000000}"/>
  </bookViews>
  <sheets>
    <sheet name="Volume" sheetId="1" r:id="rId1"/>
    <sheet name="isotherm" sheetId="18" r:id="rId2"/>
    <sheet name="Model-O24U" sheetId="21" r:id="rId3"/>
    <sheet name="Model-tester" sheetId="24" r:id="rId4"/>
    <sheet name="model-puffer" sheetId="23" r:id="rId5"/>
    <sheet name="Model-VPSA" sheetId="22" r:id="rId6"/>
    <sheet name="BOMcost" sheetId="25" r:id="rId7"/>
    <sheet name="intercooler" sheetId="10" r:id="rId8"/>
    <sheet name="Heater" sheetId="6" r:id="rId9"/>
    <sheet name="Valves" sheetId="2" r:id="rId10"/>
    <sheet name="Materials" sheetId="9" r:id="rId11"/>
    <sheet name="Things I have built" sheetId="7" r:id="rId12"/>
    <sheet name="vacuum +velocity" sheetId="5" r:id="rId13"/>
    <sheet name="Column HW" sheetId="8" r:id="rId14"/>
    <sheet name="electrical" sheetId="3" r:id="rId15"/>
    <sheet name="bom" sheetId="4" r:id="rId16"/>
    <sheet name="EquipmentList" sheetId="11" r:id="rId17"/>
    <sheet name="RTU config" sheetId="12" r:id="rId18"/>
    <sheet name="O2 RTU" sheetId="13" r:id="rId19"/>
    <sheet name="Compressor" sheetId="14" r:id="rId20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 s="1"/>
  <c r="G35" i="1" s="1"/>
  <c r="H35" i="1" s="1"/>
  <c r="I35" i="1" s="1"/>
  <c r="C35" i="1"/>
  <c r="D27" i="1"/>
  <c r="E27" i="1" s="1"/>
  <c r="G27" i="1" s="1"/>
  <c r="H27" i="1" s="1"/>
  <c r="I27" i="1" s="1"/>
  <c r="C27" i="1"/>
  <c r="D36" i="1"/>
  <c r="C36" i="1"/>
  <c r="L61" i="1"/>
  <c r="L58" i="1"/>
  <c r="L57" i="1"/>
  <c r="L70" i="1" s="1"/>
  <c r="L56" i="1"/>
  <c r="O58" i="1"/>
  <c r="O61" i="1" s="1"/>
  <c r="O57" i="1"/>
  <c r="O56" i="1"/>
  <c r="N58" i="1"/>
  <c r="N61" i="1" s="1"/>
  <c r="N57" i="1"/>
  <c r="N56" i="1"/>
  <c r="D56" i="1"/>
  <c r="E56" i="1" s="1"/>
  <c r="G56" i="1" s="1"/>
  <c r="H56" i="1" s="1"/>
  <c r="I56" i="1" s="1"/>
  <c r="C56" i="1"/>
  <c r="D55" i="1"/>
  <c r="C55" i="1"/>
  <c r="E54" i="1"/>
  <c r="G54" i="1" s="1"/>
  <c r="H54" i="1" s="1"/>
  <c r="I54" i="1" s="1"/>
  <c r="D54" i="1"/>
  <c r="C54" i="1"/>
  <c r="D53" i="1"/>
  <c r="C53" i="1"/>
  <c r="E53" i="1" s="1"/>
  <c r="G53" i="1" s="1"/>
  <c r="H53" i="1" s="1"/>
  <c r="I53" i="1" s="1"/>
  <c r="M57" i="1"/>
  <c r="M58" i="1"/>
  <c r="M61" i="1" s="1"/>
  <c r="M56" i="1"/>
  <c r="D50" i="1"/>
  <c r="C50" i="1"/>
  <c r="F22" i="23"/>
  <c r="F15" i="23"/>
  <c r="F18" i="23" s="1"/>
  <c r="F9" i="23"/>
  <c r="Q10" i="2"/>
  <c r="Q14" i="2" s="1"/>
  <c r="Q11" i="2"/>
  <c r="P11" i="2"/>
  <c r="P10" i="2"/>
  <c r="P14" i="2" s="1"/>
  <c r="O11" i="2"/>
  <c r="O10" i="2"/>
  <c r="O14" i="2" s="1"/>
  <c r="M29" i="1"/>
  <c r="E47" i="1"/>
  <c r="G47" i="1" s="1"/>
  <c r="H47" i="1" s="1"/>
  <c r="I47" i="1" s="1"/>
  <c r="E36" i="1" l="1"/>
  <c r="G36" i="1" s="1"/>
  <c r="H36" i="1" s="1"/>
  <c r="I36" i="1" s="1"/>
  <c r="L60" i="1"/>
  <c r="L62" i="1" s="1"/>
  <c r="L68" i="1" s="1"/>
  <c r="O70" i="1"/>
  <c r="M70" i="1"/>
  <c r="O60" i="1"/>
  <c r="O62" i="1" s="1"/>
  <c r="O68" i="1" s="1"/>
  <c r="M60" i="1"/>
  <c r="M62" i="1" s="1"/>
  <c r="M68" i="1" s="1"/>
  <c r="N70" i="1"/>
  <c r="N60" i="1"/>
  <c r="N62" i="1" s="1"/>
  <c r="N68" i="1" s="1"/>
  <c r="E55" i="1"/>
  <c r="G55" i="1" s="1"/>
  <c r="H55" i="1" s="1"/>
  <c r="I55" i="1" s="1"/>
  <c r="E50" i="1"/>
  <c r="G50" i="1" s="1"/>
  <c r="H50" i="1" s="1"/>
  <c r="I50" i="1" s="1"/>
  <c r="F27" i="23"/>
  <c r="F28" i="23" s="1"/>
  <c r="Q13" i="2"/>
  <c r="P13" i="2"/>
  <c r="O13" i="2"/>
  <c r="E46" i="1"/>
  <c r="G46" i="1" s="1"/>
  <c r="H46" i="1" s="1"/>
  <c r="I46" i="1" s="1"/>
  <c r="C37" i="21"/>
  <c r="F24" i="23" l="1"/>
  <c r="F25" i="23" s="1"/>
  <c r="F31" i="23"/>
  <c r="F23" i="23"/>
  <c r="F33" i="23" s="1"/>
  <c r="G30" i="18"/>
  <c r="G27" i="18"/>
  <c r="G28" i="18" s="1"/>
  <c r="F30" i="18"/>
  <c r="F27" i="18"/>
  <c r="E30" i="18"/>
  <c r="E27" i="18"/>
  <c r="D30" i="18"/>
  <c r="D27" i="18"/>
  <c r="C23" i="18"/>
  <c r="G19" i="25"/>
  <c r="D19" i="25"/>
  <c r="E16" i="25"/>
  <c r="E19" i="25" s="1"/>
  <c r="F16" i="25"/>
  <c r="F19" i="25" s="1"/>
  <c r="G16" i="25"/>
  <c r="D16" i="25"/>
  <c r="D43" i="1"/>
  <c r="C43" i="1"/>
  <c r="E43" i="1" s="1"/>
  <c r="G43" i="1" s="1"/>
  <c r="H43" i="1" s="1"/>
  <c r="I43" i="1" s="1"/>
  <c r="D40" i="1"/>
  <c r="C40" i="1"/>
  <c r="E40" i="1" s="1"/>
  <c r="G40" i="1" s="1"/>
  <c r="H40" i="1" s="1"/>
  <c r="I40" i="1" s="1"/>
  <c r="I31" i="14"/>
  <c r="I33" i="14" s="1"/>
  <c r="H31" i="14"/>
  <c r="H33" i="14" s="1"/>
  <c r="E22" i="24"/>
  <c r="D22" i="24"/>
  <c r="D27" i="24" s="1"/>
  <c r="C22" i="24"/>
  <c r="C27" i="24" s="1"/>
  <c r="E18" i="24"/>
  <c r="D18" i="24"/>
  <c r="E15" i="24"/>
  <c r="D15" i="24"/>
  <c r="C15" i="24"/>
  <c r="C18" i="24" s="1"/>
  <c r="F9" i="24"/>
  <c r="E9" i="24"/>
  <c r="D9" i="24"/>
  <c r="C9" i="24"/>
  <c r="F10" i="24" s="1"/>
  <c r="E22" i="23"/>
  <c r="D22" i="23"/>
  <c r="D27" i="23" s="1"/>
  <c r="C22" i="23"/>
  <c r="C27" i="23" s="1"/>
  <c r="E15" i="23"/>
  <c r="E18" i="23" s="1"/>
  <c r="D15" i="23"/>
  <c r="D18" i="23" s="1"/>
  <c r="C15" i="23"/>
  <c r="C18" i="23" s="1"/>
  <c r="G9" i="23"/>
  <c r="E9" i="23"/>
  <c r="D9" i="23"/>
  <c r="C9" i="23"/>
  <c r="G10" i="23" s="1"/>
  <c r="E22" i="22"/>
  <c r="E15" i="22"/>
  <c r="E18" i="22" s="1"/>
  <c r="E9" i="22"/>
  <c r="D22" i="22"/>
  <c r="D15" i="22"/>
  <c r="D18" i="22" s="1"/>
  <c r="D9" i="22"/>
  <c r="C27" i="22"/>
  <c r="C22" i="22"/>
  <c r="C15" i="22"/>
  <c r="C18" i="22" s="1"/>
  <c r="F9" i="22"/>
  <c r="C9" i="22"/>
  <c r="F10" i="22" s="1"/>
  <c r="G9" i="21"/>
  <c r="G8" i="21"/>
  <c r="C22" i="21"/>
  <c r="C27" i="21" s="1"/>
  <c r="C15" i="21"/>
  <c r="C18" i="21" s="1"/>
  <c r="K10" i="1"/>
  <c r="K11" i="1"/>
  <c r="K13" i="1"/>
  <c r="K15" i="1"/>
  <c r="K18" i="1"/>
  <c r="K19" i="1"/>
  <c r="K21" i="1"/>
  <c r="K22" i="1"/>
  <c r="K24" i="1"/>
  <c r="K25" i="1"/>
  <c r="K28" i="1"/>
  <c r="K33" i="1"/>
  <c r="D37" i="1"/>
  <c r="C37" i="1"/>
  <c r="E37" i="1" s="1"/>
  <c r="G37" i="1" s="1"/>
  <c r="H37" i="1" s="1"/>
  <c r="I37" i="1" s="1"/>
  <c r="D9" i="21"/>
  <c r="D10" i="21" s="1"/>
  <c r="C9" i="21"/>
  <c r="C7" i="18"/>
  <c r="C12" i="18"/>
  <c r="C14" i="18" s="1"/>
  <c r="K85" i="14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H60" i="14"/>
  <c r="H62" i="14" s="1"/>
  <c r="H85" i="14" s="1"/>
  <c r="M55" i="14"/>
  <c r="M60" i="14" s="1"/>
  <c r="M62" i="14" s="1"/>
  <c r="M85" i="14" s="1"/>
  <c r="L55" i="14"/>
  <c r="L60" i="14" s="1"/>
  <c r="L62" i="14" s="1"/>
  <c r="L85" i="14" s="1"/>
  <c r="K55" i="14"/>
  <c r="K60" i="14" s="1"/>
  <c r="K62" i="14" s="1"/>
  <c r="J55" i="14"/>
  <c r="J60" i="14" s="1"/>
  <c r="J62" i="14" s="1"/>
  <c r="J85" i="14" s="1"/>
  <c r="I55" i="14"/>
  <c r="I60" i="14" s="1"/>
  <c r="I62" i="14" s="1"/>
  <c r="I85" i="14" s="1"/>
  <c r="H55" i="14"/>
  <c r="G55" i="14"/>
  <c r="G60" i="14" s="1"/>
  <c r="G62" i="14" s="1"/>
  <c r="G85" i="14" s="1"/>
  <c r="F55" i="14"/>
  <c r="F60" i="14" s="1"/>
  <c r="F62" i="14" s="1"/>
  <c r="F85" i="14" s="1"/>
  <c r="E55" i="14"/>
  <c r="E60" i="14" s="1"/>
  <c r="E62" i="14" s="1"/>
  <c r="E85" i="14" s="1"/>
  <c r="D55" i="14"/>
  <c r="D60" i="14" s="1"/>
  <c r="D62" i="14" s="1"/>
  <c r="D85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31" i="14"/>
  <c r="D26" i="14"/>
  <c r="D33" i="1"/>
  <c r="C33" i="1"/>
  <c r="D19" i="1"/>
  <c r="C19" i="1"/>
  <c r="D30" i="1"/>
  <c r="E30" i="1" s="1"/>
  <c r="C30" i="1"/>
  <c r="D29" i="1"/>
  <c r="C29" i="1"/>
  <c r="F34" i="23" l="1"/>
  <c r="F35" i="23" s="1"/>
  <c r="F28" i="18"/>
  <c r="F31" i="18"/>
  <c r="E28" i="18"/>
  <c r="E31" i="18"/>
  <c r="E34" i="18" s="1"/>
  <c r="G31" i="18"/>
  <c r="D31" i="18"/>
  <c r="G34" i="18"/>
  <c r="F34" i="18"/>
  <c r="D28" i="18"/>
  <c r="G30" i="1"/>
  <c r="H30" i="1" s="1"/>
  <c r="I30" i="1" s="1"/>
  <c r="K30" i="1"/>
  <c r="E29" i="1"/>
  <c r="F7" i="24"/>
  <c r="F6" i="24"/>
  <c r="I8" i="24" s="1"/>
  <c r="I9" i="24" s="1"/>
  <c r="F8" i="24"/>
  <c r="C28" i="24"/>
  <c r="E27" i="24"/>
  <c r="E28" i="24" s="1"/>
  <c r="E24" i="24" s="1"/>
  <c r="E25" i="24" s="1"/>
  <c r="D28" i="24"/>
  <c r="D31" i="24" s="1"/>
  <c r="G7" i="23"/>
  <c r="G6" i="23"/>
  <c r="J8" i="23" s="1"/>
  <c r="J9" i="23" s="1"/>
  <c r="G8" i="23"/>
  <c r="C28" i="23"/>
  <c r="C24" i="23" s="1"/>
  <c r="C25" i="23" s="1"/>
  <c r="C31" i="23"/>
  <c r="D28" i="23"/>
  <c r="E27" i="23"/>
  <c r="E28" i="23" s="1"/>
  <c r="C23" i="23"/>
  <c r="C33" i="23" s="1"/>
  <c r="E27" i="22"/>
  <c r="E28" i="22" s="1"/>
  <c r="D27" i="22"/>
  <c r="D28" i="22" s="1"/>
  <c r="F8" i="22"/>
  <c r="F7" i="22"/>
  <c r="F6" i="22"/>
  <c r="I8" i="22" s="1"/>
  <c r="I9" i="22" s="1"/>
  <c r="C28" i="22"/>
  <c r="C28" i="21"/>
  <c r="D8" i="21"/>
  <c r="D6" i="21"/>
  <c r="D7" i="21"/>
  <c r="K36" i="1"/>
  <c r="E19" i="1"/>
  <c r="G19" i="1" s="1"/>
  <c r="H19" i="1" s="1"/>
  <c r="I19" i="1" s="1"/>
  <c r="F76" i="14"/>
  <c r="F86" i="14" s="1"/>
  <c r="J76" i="14"/>
  <c r="J86" i="14" s="1"/>
  <c r="G76" i="14"/>
  <c r="G86" i="14" s="1"/>
  <c r="K76" i="14"/>
  <c r="K86" i="14" s="1"/>
  <c r="D33" i="14"/>
  <c r="E33" i="1"/>
  <c r="G33" i="1" s="1"/>
  <c r="H33" i="1" s="1"/>
  <c r="I33" i="1" s="1"/>
  <c r="E31" i="13"/>
  <c r="D34" i="18" l="1"/>
  <c r="G29" i="1"/>
  <c r="H29" i="1" s="1"/>
  <c r="I29" i="1" s="1"/>
  <c r="K29" i="1"/>
  <c r="E23" i="24"/>
  <c r="E33" i="24" s="1"/>
  <c r="E31" i="24"/>
  <c r="D23" i="24"/>
  <c r="D33" i="24" s="1"/>
  <c r="D24" i="24"/>
  <c r="D25" i="24" s="1"/>
  <c r="C23" i="24"/>
  <c r="C33" i="24" s="1"/>
  <c r="C24" i="24"/>
  <c r="C25" i="24" s="1"/>
  <c r="C31" i="24"/>
  <c r="E24" i="23"/>
  <c r="E25" i="23" s="1"/>
  <c r="E31" i="23"/>
  <c r="E23" i="23"/>
  <c r="E33" i="23" s="1"/>
  <c r="C34" i="23"/>
  <c r="C35" i="23" s="1"/>
  <c r="D23" i="23"/>
  <c r="D33" i="23" s="1"/>
  <c r="D24" i="23"/>
  <c r="D25" i="23" s="1"/>
  <c r="D31" i="23"/>
  <c r="E24" i="22"/>
  <c r="E25" i="22" s="1"/>
  <c r="E31" i="22"/>
  <c r="E23" i="22"/>
  <c r="E33" i="22" s="1"/>
  <c r="D24" i="22"/>
  <c r="D25" i="22" s="1"/>
  <c r="D31" i="22"/>
  <c r="D23" i="22"/>
  <c r="D33" i="22" s="1"/>
  <c r="C24" i="22"/>
  <c r="C25" i="22" s="1"/>
  <c r="C31" i="22"/>
  <c r="C23" i="22"/>
  <c r="C33" i="22" s="1"/>
  <c r="C23" i="21"/>
  <c r="C33" i="21" s="1"/>
  <c r="C24" i="21"/>
  <c r="C25" i="21" s="1"/>
  <c r="C31" i="21"/>
  <c r="C21" i="10"/>
  <c r="C22" i="10"/>
  <c r="C19" i="10"/>
  <c r="D34" i="24" l="1"/>
  <c r="D35" i="24" s="1"/>
  <c r="C34" i="24"/>
  <c r="C35" i="24" s="1"/>
  <c r="E34" i="24"/>
  <c r="E35" i="24" s="1"/>
  <c r="E34" i="23"/>
  <c r="E35" i="23" s="1"/>
  <c r="D34" i="23"/>
  <c r="D35" i="23" s="1"/>
  <c r="E34" i="22"/>
  <c r="E35" i="22" s="1"/>
  <c r="D34" i="22"/>
  <c r="D35" i="22" s="1"/>
  <c r="C34" i="22"/>
  <c r="C35" i="22" s="1"/>
  <c r="C34" i="21"/>
  <c r="C35" i="21" s="1"/>
  <c r="C17" i="10"/>
  <c r="C14" i="10"/>
  <c r="C13" i="10"/>
  <c r="C15" i="10" l="1"/>
  <c r="C8" i="1"/>
  <c r="D8" i="1"/>
  <c r="C17" i="1"/>
  <c r="D17" i="1"/>
  <c r="E17" i="1" s="1"/>
  <c r="L15" i="1"/>
  <c r="C28" i="1"/>
  <c r="D28" i="1"/>
  <c r="M31" i="1"/>
  <c r="C25" i="1"/>
  <c r="D25" i="1"/>
  <c r="C22" i="1"/>
  <c r="D22" i="1"/>
  <c r="C13" i="1"/>
  <c r="D13" i="1"/>
  <c r="C10" i="1"/>
  <c r="D10" i="1"/>
  <c r="C15" i="1"/>
  <c r="D15" i="1"/>
  <c r="D9" i="1"/>
  <c r="C9" i="1"/>
  <c r="E9" i="1" s="1"/>
  <c r="C18" i="1"/>
  <c r="D18" i="1"/>
  <c r="E18" i="1" s="1"/>
  <c r="G18" i="1" s="1"/>
  <c r="H18" i="1" s="1"/>
  <c r="C14" i="1"/>
  <c r="D14" i="1"/>
  <c r="C11" i="1"/>
  <c r="D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F14" i="2"/>
  <c r="I10" i="2"/>
  <c r="I14" i="2" s="1"/>
  <c r="I11" i="2"/>
  <c r="I13" i="2" s="1"/>
  <c r="C13" i="2"/>
  <c r="K10" i="2"/>
  <c r="K13" i="2" s="1"/>
  <c r="K11" i="2"/>
  <c r="L10" i="2"/>
  <c r="L11" i="2"/>
  <c r="M10" i="2"/>
  <c r="M14" i="2" s="1"/>
  <c r="M11" i="2"/>
  <c r="C10" i="2"/>
  <c r="C11" i="2"/>
  <c r="C14" i="2" s="1"/>
  <c r="D10" i="2"/>
  <c r="D14" i="2" s="1"/>
  <c r="D11" i="2"/>
  <c r="E10" i="2"/>
  <c r="E14" i="2" s="1"/>
  <c r="E11" i="2"/>
  <c r="F10" i="2"/>
  <c r="F11" i="2"/>
  <c r="F13" i="2"/>
  <c r="G10" i="2"/>
  <c r="G11" i="2"/>
  <c r="H10" i="2"/>
  <c r="H14" i="2" s="1"/>
  <c r="H11" i="2"/>
  <c r="M20" i="1"/>
  <c r="M15" i="1"/>
  <c r="D13" i="6"/>
  <c r="D16" i="6"/>
  <c r="E8" i="3"/>
  <c r="B8" i="3"/>
  <c r="C24" i="1"/>
  <c r="D24" i="1"/>
  <c r="E24" i="1" s="1"/>
  <c r="G24" i="1" s="1"/>
  <c r="H24" i="1" s="1"/>
  <c r="I24" i="1" s="1"/>
  <c r="D21" i="1"/>
  <c r="C21" i="1"/>
  <c r="L13" i="2" l="1"/>
  <c r="K14" i="2"/>
  <c r="G14" i="2"/>
  <c r="G13" i="2"/>
  <c r="G9" i="1"/>
  <c r="H9" i="1" s="1"/>
  <c r="I9" i="1" s="1"/>
  <c r="K9" i="1"/>
  <c r="G17" i="1"/>
  <c r="H17" i="1" s="1"/>
  <c r="I17" i="1" s="1"/>
  <c r="K17" i="1"/>
  <c r="E22" i="1"/>
  <c r="G22" i="1" s="1"/>
  <c r="H22" i="1" s="1"/>
  <c r="I22" i="1" s="1"/>
  <c r="I18" i="1"/>
  <c r="M8" i="1"/>
  <c r="N8" i="1" s="1"/>
  <c r="E14" i="1"/>
  <c r="E8" i="1"/>
  <c r="E10" i="1"/>
  <c r="G10" i="1" s="1"/>
  <c r="H10" i="1" s="1"/>
  <c r="I10" i="1" s="1"/>
  <c r="E11" i="1"/>
  <c r="G11" i="1" s="1"/>
  <c r="H11" i="1" s="1"/>
  <c r="I11" i="1" s="1"/>
  <c r="E15" i="1"/>
  <c r="G15" i="1" s="1"/>
  <c r="H15" i="1" s="1"/>
  <c r="I15" i="1" s="1"/>
  <c r="E13" i="1"/>
  <c r="G13" i="1" s="1"/>
  <c r="H13" i="1" s="1"/>
  <c r="I13" i="1" s="1"/>
  <c r="E21" i="1"/>
  <c r="G21" i="1" s="1"/>
  <c r="H21" i="1" s="1"/>
  <c r="I21" i="1" s="1"/>
  <c r="E25" i="1"/>
  <c r="G25" i="1" s="1"/>
  <c r="H25" i="1" s="1"/>
  <c r="I25" i="1" s="1"/>
  <c r="E28" i="1"/>
  <c r="G28" i="1" s="1"/>
  <c r="H28" i="1" s="1"/>
  <c r="I28" i="1" s="1"/>
  <c r="C16" i="10"/>
  <c r="C23" i="10"/>
  <c r="G12" i="5"/>
  <c r="G13" i="5" s="1"/>
  <c r="B26" i="5"/>
  <c r="B23" i="5"/>
  <c r="K13" i="8"/>
  <c r="L14" i="2"/>
  <c r="H13" i="2"/>
  <c r="D13" i="2"/>
  <c r="E13" i="2"/>
  <c r="M13" i="2"/>
  <c r="F15" i="3"/>
  <c r="F22" i="3" s="1"/>
  <c r="G14" i="1" l="1"/>
  <c r="H14" i="1" s="1"/>
  <c r="I14" i="1" s="1"/>
  <c r="K14" i="1"/>
  <c r="G8" i="1"/>
  <c r="H8" i="1" s="1"/>
  <c r="I8" i="1" s="1"/>
  <c r="K8" i="1"/>
</calcChain>
</file>

<file path=xl/sharedStrings.xml><?xml version="1.0" encoding="utf-8"?>
<sst xmlns="http://schemas.openxmlformats.org/spreadsheetml/2006/main" count="1358" uniqueCount="855">
  <si>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</si>
  <si>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</si>
  <si>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</si>
  <si>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</si>
  <si>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</si>
  <si>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</si>
  <si>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</si>
  <si>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</si>
  <si>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</si>
  <si>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</si>
  <si>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</si>
  <si>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</si>
  <si>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</si>
  <si>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</si>
  <si>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</si>
  <si>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</si>
  <si>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</si>
  <si>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</si>
  <si>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</si>
  <si>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</si>
  <si>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</si>
  <si>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</si>
  <si>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</si>
  <si>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</si>
  <si>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</si>
  <si>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</si>
  <si>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</si>
  <si>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</si>
  <si>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</si>
  <si>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</si>
  <si>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</si>
  <si>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</si>
  <si>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</si>
  <si>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</si>
  <si>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</si>
  <si>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</si>
  <si>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</si>
  <si>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</si>
  <si>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</si>
  <si>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</si>
  <si>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</si>
  <si>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</si>
  <si>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</si>
  <si>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</si>
  <si>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</si>
  <si>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</si>
  <si>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</si>
  <si>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</si>
  <si>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</si>
  <si>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</si>
  <si>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</si>
  <si>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</si>
  <si>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</si>
  <si>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</si>
  <si>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</si>
  <si>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</si>
  <si>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</si>
  <si>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</si>
  <si>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</si>
  <si>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</si>
  <si>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</si>
  <si>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</si>
  <si>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</si>
  <si>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</si>
  <si>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</si>
  <si>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</si>
  <si>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</si>
  <si>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</si>
  <si>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</si>
  <si>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</si>
  <si>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</si>
  <si>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</si>
  <si>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</si>
  <si>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</si>
  <si>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</si>
  <si>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</si>
  <si>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</si>
  <si>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</si>
  <si>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</si>
  <si>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</si>
  <si>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</si>
  <si>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</si>
  <si>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</si>
  <si>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</si>
  <si>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</si>
  <si>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</si>
  <si>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</si>
  <si>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</si>
  <si>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</si>
  <si>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</si>
  <si>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</si>
  <si>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</si>
  <si>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</si>
  <si>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</si>
  <si>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</si>
  <si>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</si>
  <si>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</si>
  <si>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</si>
  <si>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</si>
  <si>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</si>
  <si>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</si>
  <si>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</si>
  <si>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</si>
  <si>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</si>
  <si>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</si>
  <si>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</si>
  <si>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</si>
  <si>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</si>
  <si>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</si>
  <si>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</si>
  <si>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</si>
  <si>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</si>
  <si>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</si>
  <si>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</si>
  <si>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</si>
  <si>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</si>
  <si>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</si>
  <si>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</si>
  <si>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</si>
  <si>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</si>
  <si>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</si>
  <si>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</si>
  <si>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</si>
  <si>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</si>
  <si>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</si>
  <si>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</si>
  <si>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</si>
  <si>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</si>
  <si>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</si>
  <si>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</si>
  <si>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</si>
  <si>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</si>
  <si>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</si>
  <si>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</si>
  <si>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</si>
  <si>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</si>
  <si>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</si>
  <si>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</si>
  <si>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</si>
  <si>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</si>
  <si>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</si>
  <si>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</si>
  <si>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</si>
  <si>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</si>
  <si>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</si>
  <si>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</si>
  <si>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</si>
  <si>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</si>
  <si>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</si>
  <si>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</si>
  <si>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</si>
  <si>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</si>
  <si>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</si>
  <si>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</si>
  <si>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</si>
  <si>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</si>
  <si>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</si>
  <si>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</si>
  <si>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</si>
  <si>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</si>
  <si>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</si>
  <si>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</si>
  <si>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</si>
  <si>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</si>
  <si>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</si>
  <si>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</si>
  <si>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</si>
  <si>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</si>
  <si>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</si>
  <si>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</si>
  <si>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</si>
  <si>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</si>
  <si>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</si>
  <si>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</si>
  <si>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</si>
  <si>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</si>
  <si>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</si>
  <si>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</si>
  <si>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</si>
  <si>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</si>
  <si>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</si>
  <si>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</si>
  <si>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</si>
  <si>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</si>
  <si>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</si>
  <si>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</si>
  <si>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</si>
  <si>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</si>
  <si>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</si>
  <si>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</si>
  <si>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</si>
  <si>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</si>
  <si>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</si>
  <si>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</si>
  <si>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</si>
  <si>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</si>
  <si>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</si>
  <si>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</si>
  <si>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</si>
  <si>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</si>
  <si>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</si>
  <si>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</si>
  <si>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</si>
  <si>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</si>
  <si>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</si>
  <si>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</si>
  <si>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</si>
  <si>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</si>
  <si>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</si>
  <si>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</si>
  <si>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</si>
  <si>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</si>
  <si>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</si>
  <si>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</si>
  <si>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</si>
  <si>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</si>
  <si>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</si>
  <si>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</si>
  <si>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</si>
  <si>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</si>
  <si>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</si>
  <si>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</si>
  <si>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</si>
  <si>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</si>
  <si>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</si>
  <si>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</si>
  <si>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</si>
  <si>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</si>
  <si>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</si>
  <si>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</si>
  <si>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</si>
  <si>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</si>
  <si>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</si>
  <si>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</si>
  <si>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</si>
  <si>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</si>
  <si>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</si>
  <si>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</si>
  <si>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</si>
  <si>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</si>
  <si>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</si>
  <si>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</si>
  <si>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</si>
  <si>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</si>
  <si>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</si>
  <si>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</si>
  <si>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</si>
  <si>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</si>
  <si>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</si>
  <si>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</si>
  <si>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</si>
  <si>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</si>
  <si>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</si>
  <si>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</si>
  <si>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</si>
  <si>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</si>
  <si>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</si>
  <si>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</si>
  <si>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</si>
  <si>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</si>
  <si>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</si>
  <si>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</si>
  <si>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</si>
  <si>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</si>
  <si>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</si>
  <si>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</si>
  <si>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</si>
  <si>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</si>
  <si>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</si>
  <si>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</si>
  <si>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</si>
  <si>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</si>
  <si>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</si>
  <si>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</si>
  <si>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</si>
  <si>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</si>
  <si>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</si>
  <si>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</si>
  <si>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</si>
  <si>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</si>
  <si>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</si>
  <si>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</si>
  <si>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</si>
  <si>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</si>
  <si>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</si>
  <si>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</si>
  <si>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</si>
  <si>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</si>
  <si>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</si>
  <si>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</si>
  <si>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</si>
  <si>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</si>
  <si>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</si>
  <si>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</si>
  <si>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</si>
  <si>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</si>
  <si>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</si>
  <si>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</si>
  <si>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</si>
  <si>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</si>
  <si>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</si>
  <si>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</si>
  <si>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</si>
  <si>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</si>
  <si>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</si>
  <si>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</si>
  <si>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</si>
  <si>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</si>
  <si>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</si>
  <si>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</si>
  <si>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</si>
  <si>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</si>
  <si>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</si>
  <si>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</si>
  <si>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</si>
  <si>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</si>
  <si>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</si>
  <si>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</si>
  <si>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</si>
  <si>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</si>
  <si>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</si>
  <si>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</si>
  <si>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</si>
  <si>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</si>
  <si>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</si>
  <si>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</si>
  <si>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</si>
  <si>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</si>
  <si>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</si>
  <si>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</si>
  <si>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</si>
  <si>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</si>
  <si>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</si>
  <si>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</si>
  <si>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</si>
  <si>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</si>
  <si>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</si>
  <si>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</si>
  <si>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</si>
  <si>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</si>
  <si>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</si>
  <si>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</si>
  <si>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</si>
  <si>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</si>
  <si>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</si>
  <si>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</si>
  <si>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</si>
  <si>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</si>
  <si>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</si>
  <si>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</si>
  <si>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</si>
  <si>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</si>
  <si>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</si>
  <si>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</si>
  <si>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</si>
  <si>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</si>
  <si>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</si>
  <si>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</si>
  <si>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</si>
  <si>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</si>
  <si>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</si>
  <si>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</si>
  <si>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</si>
  <si>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</si>
  <si>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</si>
  <si>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</si>
  <si>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</si>
  <si>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</si>
  <si>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</si>
  <si>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</si>
  <si>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</si>
  <si>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</si>
  <si>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</si>
  <si>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</si>
  <si>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</si>
  <si>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</si>
  <si>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</si>
  <si>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</si>
  <si>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</si>
  <si>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</si>
  <si>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</si>
  <si>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</si>
  <si>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</si>
  <si>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</si>
  <si>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</si>
  <si>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</si>
  <si>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</si>
  <si>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</si>
  <si>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</si>
  <si>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</si>
  <si>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</si>
  <si>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</si>
  <si>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</si>
  <si>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</si>
  <si>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</si>
  <si>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</si>
  <si>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</si>
  <si>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</si>
  <si>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</si>
  <si>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</si>
  <si>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</si>
  <si>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</si>
  <si>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</si>
  <si>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</si>
  <si>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</si>
  <si>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</si>
  <si>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</si>
  <si>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</si>
  <si>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</si>
  <si>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</si>
  <si>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</si>
  <si>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</si>
  <si>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</si>
  <si>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</si>
  <si>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</si>
  <si>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</si>
  <si>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</si>
  <si>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</si>
  <si>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</si>
  <si>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</si>
  <si>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</si>
  <si>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</si>
  <si>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</si>
  <si>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</si>
  <si>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</si>
  <si>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</si>
  <si>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</si>
  <si>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</si>
  <si>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</si>
  <si>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</si>
  <si>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</si>
  <si>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</si>
  <si>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</si>
  <si>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</si>
  <si>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</si>
  <si>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</si>
  <si>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</si>
  <si>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</si>
  <si>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</si>
  <si>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</si>
  <si>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</si>
  <si>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</si>
  <si>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</si>
  <si>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</si>
  <si>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</si>
  <si>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</si>
  <si>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</si>
  <si>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</si>
  <si>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</si>
  <si>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</si>
  <si>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</si>
  <si>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</si>
  <si>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</si>
  <si>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</si>
  <si>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</si>
  <si>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</si>
  <si>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</si>
  <si>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</si>
  <si>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</si>
  <si>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</si>
  <si>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</si>
  <si>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</si>
  <si>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</si>
  <si>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</si>
  <si>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</si>
  <si>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</si>
  <si>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</si>
  <si>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</si>
  <si>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</si>
  <si>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</si>
  <si>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</si>
  <si>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</si>
  <si>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</si>
  <si>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</si>
  <si>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</si>
  <si>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</si>
  <si>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</si>
  <si>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</si>
  <si>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</si>
  <si>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</si>
  <si>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</si>
  <si>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</si>
  <si>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</si>
  <si>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</si>
  <si>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</si>
  <si>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</si>
  <si>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</si>
  <si>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</si>
  <si>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</si>
  <si>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</si>
  <si>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</si>
  <si>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</si>
  <si>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</si>
  <si>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</si>
  <si>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</si>
  <si>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</si>
  <si>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</si>
  <si>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</si>
  <si>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</si>
  <si>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</si>
  <si>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</si>
  <si>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</si>
  <si>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</si>
  <si>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</si>
  <si>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</si>
  <si>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</si>
  <si>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</si>
  <si>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</si>
  <si>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</si>
  <si>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</si>
  <si>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</si>
  <si>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</si>
  <si>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</si>
  <si>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</si>
  <si>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</si>
  <si>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</si>
  <si>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</si>
  <si>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</si>
  <si>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</si>
  <si>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</si>
  <si>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</si>
  <si>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</si>
  <si>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</si>
  <si>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</si>
  <si>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</si>
  <si>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</si>
  <si>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</si>
  <si>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</si>
  <si>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</si>
  <si>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</si>
  <si>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</si>
  <si>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</si>
  <si>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</si>
  <si>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</si>
  <si>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</si>
  <si>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</si>
  <si>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</si>
  <si>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</si>
  <si>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</si>
  <si>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</si>
  <si>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</si>
  <si>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</si>
  <si>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</si>
  <si>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</si>
  <si>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</si>
  <si>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</si>
  <si>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</si>
  <si>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</si>
  <si>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</si>
  <si>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</si>
  <si>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</si>
  <si>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</si>
  <si>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</si>
  <si>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</si>
  <si>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</si>
  <si>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</si>
  <si>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</si>
  <si>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</si>
  <si>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</si>
  <si>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</si>
  <si>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</si>
  <si>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</si>
  <si>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</si>
  <si>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</si>
  <si>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</si>
  <si>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</si>
  <si>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</si>
  <si>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</si>
  <si>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</si>
  <si>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</si>
  <si>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</si>
  <si>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</si>
  <si>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</si>
  <si>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</si>
  <si>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</si>
  <si>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</si>
  <si>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</si>
  <si>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</si>
  <si>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</si>
  <si>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</si>
  <si>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</si>
  <si>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</si>
  <si>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</si>
  <si>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</si>
  <si>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</si>
  <si>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</si>
  <si>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</si>
  <si>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</si>
  <si>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</si>
  <si>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</si>
  <si>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</si>
  <si>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</si>
  <si>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</si>
  <si>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</si>
  <si>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</si>
  <si>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</si>
  <si>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</si>
  <si>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</si>
  <si>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</si>
  <si>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</si>
  <si>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</si>
  <si>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</si>
  <si>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</si>
  <si>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</si>
  <si>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</si>
  <si>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</si>
  <si>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</si>
  <si>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</si>
  <si>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</si>
  <si>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</si>
  <si>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</si>
  <si>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</si>
  <si>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</si>
  <si>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</si>
  <si>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</si>
  <si>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</si>
  <si>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</si>
  <si>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</si>
  <si>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</si>
  <si>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</si>
  <si>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</si>
  <si>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</si>
  <si>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</si>
  <si>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</si>
  <si>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</si>
  <si>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</si>
  <si>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</si>
  <si>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</si>
  <si>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</si>
  <si>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</si>
  <si>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</si>
  <si>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</si>
  <si>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</si>
  <si>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</si>
  <si>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</si>
  <si>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</si>
  <si>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</si>
  <si>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</si>
  <si>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</si>
  <si>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</si>
  <si>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</si>
  <si>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</si>
  <si>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</si>
  <si>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</si>
  <si>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</si>
  <si>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</si>
  <si>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</si>
  <si>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</si>
  <si>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</si>
  <si>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</si>
  <si>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</si>
  <si>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</si>
  <si>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</si>
  <si>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</si>
  <si>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</si>
  <si>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</si>
  <si>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</si>
  <si>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</si>
  <si>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</si>
  <si>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</si>
  <si>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</si>
  <si>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</si>
  <si>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</si>
  <si>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</si>
  <si>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</si>
  <si>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</si>
  <si>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</si>
  <si>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</si>
  <si>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</si>
  <si>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</si>
  <si>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</si>
  <si>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</si>
  <si>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</si>
  <si>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</si>
  <si>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</si>
  <si>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</si>
  <si>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</si>
  <si>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</si>
  <si>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</si>
  <si>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</si>
  <si>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</si>
  <si>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</si>
  <si>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</si>
  <si>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</si>
  <si>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</si>
  <si>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</si>
  <si>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</si>
  <si>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</si>
  <si>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</si>
  <si>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</si>
  <si>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</si>
  <si>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</si>
  <si>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</si>
  <si>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</si>
  <si>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</si>
  <si>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</si>
  <si>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</si>
  <si>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</si>
  <si>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</si>
  <si>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</si>
  <si>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</si>
  <si>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</si>
  <si>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</si>
  <si>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</si>
  <si>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</si>
  <si>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</si>
  <si>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</si>
  <si>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</si>
  <si>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</si>
  <si>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</si>
  <si>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</si>
  <si>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</si>
  <si>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</si>
  <si>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</si>
  <si>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</si>
  <si>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</si>
  <si>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</si>
  <si>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</si>
  <si>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</si>
  <si>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</si>
  <si>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</si>
  <si>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60 psig</t>
  </si>
  <si>
    <t>40 psig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</si>
  <si>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</si>
  <si>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</si>
  <si>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</si>
  <si>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</si>
  <si>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</si>
  <si>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</si>
  <si>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</si>
  <si>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</si>
  <si>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</si>
  <si>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</si>
  <si>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</si>
  <si>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</si>
  <si>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</si>
  <si>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</si>
  <si>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</si>
  <si>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</si>
  <si>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</si>
  <si>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</si>
  <si>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</si>
  <si>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</si>
  <si>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</si>
  <si>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</si>
  <si>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</si>
  <si>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</si>
  <si>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</si>
  <si>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</si>
  <si>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</si>
  <si>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</si>
  <si>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</si>
  <si>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</si>
  <si>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</si>
  <si>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</si>
  <si>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</si>
  <si>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</si>
  <si>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</si>
  <si>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</si>
  <si>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</si>
  <si>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</si>
  <si>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</si>
  <si>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</si>
  <si>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</si>
  <si>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</si>
  <si>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</si>
  <si>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recovered in product</t>
  </si>
  <si>
    <t>adsorbed in bed</t>
  </si>
  <si>
    <t>adsorbed waste over bed loading time assuming a/b operation with 2 columns</t>
  </si>
  <si>
    <t>Average waste collection rate during adsorption</t>
  </si>
  <si>
    <t>Tap Plastic</t>
  </si>
  <si>
    <t>King Star Board 1"</t>
  </si>
  <si>
    <t>3", 300lb</t>
  </si>
  <si>
    <t>14x20 custom</t>
  </si>
  <si>
    <t>8-3/4x20 custom</t>
  </si>
  <si>
    <t>Prodcycle</t>
  </si>
  <si>
    <t>Purgecycle</t>
  </si>
  <si>
    <t>not adsorbed/cycle</t>
  </si>
  <si>
    <t>recovered</t>
  </si>
  <si>
    <t>purge</t>
  </si>
  <si>
    <t>product returned to purge per cycle</t>
  </si>
  <si>
    <t>product delivered per cycle</t>
  </si>
  <si>
    <t>Bed-product recovery ratio</t>
  </si>
  <si>
    <t>.78 N2 + .01 O2</t>
  </si>
  <si>
    <t>30lpm max</t>
  </si>
  <si>
    <t>MonoColumn VPSA, same bed and pump as O24U</t>
  </si>
  <si>
    <t>Big Slice 100 lpm @2</t>
  </si>
  <si>
    <t>MVP slice 20-30 lpm @2</t>
  </si>
  <si>
    <t>Tester Column 10 lpm</t>
  </si>
  <si>
    <t>AlO3 Tester</t>
  </si>
  <si>
    <t>Alt Tester 5 lpm</t>
  </si>
  <si>
    <t>Compressor</t>
  </si>
  <si>
    <t>Vacuum pump</t>
  </si>
  <si>
    <t>Column HW</t>
  </si>
  <si>
    <t>Zeolite</t>
  </si>
  <si>
    <t>MVP Demo</t>
  </si>
  <si>
    <t>O2 lpm for 2 modules</t>
  </si>
  <si>
    <t>Table demo</t>
  </si>
  <si>
    <t>MVP bigger</t>
  </si>
  <si>
    <t>500g</t>
  </si>
  <si>
    <t>1-2kg</t>
  </si>
  <si>
    <t>4x48, 6x36</t>
  </si>
  <si>
    <t>2.5x20, 3x24</t>
  </si>
  <si>
    <t>2x16 PVC</t>
  </si>
  <si>
    <t>BOS</t>
  </si>
  <si>
    <t xml:space="preserve"> 3x36, 4x36</t>
  </si>
  <si>
    <t>3-4kg</t>
  </si>
  <si>
    <t>6-10 kg</t>
  </si>
  <si>
    <t>Full Scale Demo</t>
  </si>
  <si>
    <t>50-60</t>
  </si>
  <si>
    <t>25-30</t>
  </si>
  <si>
    <t>Compressor FA slpm</t>
  </si>
  <si>
    <t>Vacuum pump slpm</t>
  </si>
  <si>
    <t>O2 lpm for 1 module</t>
  </si>
  <si>
    <t>25</t>
  </si>
  <si>
    <t>2.5</t>
  </si>
  <si>
    <t>6-7.5</t>
  </si>
  <si>
    <t>12-15</t>
  </si>
  <si>
    <t>mmol/g</t>
  </si>
  <si>
    <t>ml/g</t>
  </si>
  <si>
    <t>adsH</t>
  </si>
  <si>
    <t>adsL</t>
  </si>
  <si>
    <t>mg/g</t>
  </si>
  <si>
    <t>oxikit</t>
  </si>
  <si>
    <t>hp</t>
  </si>
  <si>
    <t>vpsa</t>
  </si>
  <si>
    <t>full range</t>
  </si>
  <si>
    <t>Raw production from column</t>
  </si>
  <si>
    <t>7.5 psig</t>
  </si>
  <si>
    <t>0.5 bar</t>
  </si>
  <si>
    <t>0.3 bar</t>
  </si>
  <si>
    <t>Oxikit Li sieve bed</t>
  </si>
  <si>
    <t>Oxikit Li o2 tank</t>
  </si>
  <si>
    <t>3/5 fill</t>
  </si>
  <si>
    <t>3/5 blowdown</t>
  </si>
  <si>
    <t>3/5 vac</t>
  </si>
  <si>
    <t>puffer 5-7 lpm pulse</t>
  </si>
  <si>
    <t>20 psig</t>
  </si>
  <si>
    <t>top</t>
  </si>
  <si>
    <t>bot</t>
  </si>
  <si>
    <t>dia</t>
  </si>
  <si>
    <t>in</t>
  </si>
  <si>
    <t>stroke</t>
  </si>
  <si>
    <t>displacement</t>
  </si>
  <si>
    <t>cm^3</t>
  </si>
  <si>
    <t>Cylinders</t>
  </si>
  <si>
    <t>RPM</t>
  </si>
  <si>
    <t xml:space="preserve">"200 lpm, 1100W, USD270, 20kg" pump </t>
  </si>
  <si>
    <t>60 hz</t>
  </si>
  <si>
    <t>1.25 sch 40</t>
  </si>
  <si>
    <t>1.5 sch 40</t>
  </si>
  <si>
    <t>2 sch 40</t>
  </si>
  <si>
    <t>Static CR</t>
  </si>
  <si>
    <t>FA Volume</t>
  </si>
  <si>
    <t>Slice 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</si>
</sst>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0" formatCode="0.0%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7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0" fontId="0" fillId="0" borderId="0" xfId="7" applyNumberFormat="1" applyFont="1"/>
    <xf numFmtId="170" fontId="0" fillId="7" borderId="0" xfId="7" applyNumberFormat="1" applyFont="1" applyFill="1"/>
    <xf numFmtId="49" fontId="0" fillId="0" borderId="0" xfId="0" applyNumberFormat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20 psig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0.11667265288028514</c:v>
                </c:pt>
                <c:pt idx="1">
                  <c:v>0.23334530576057028</c:v>
                </c:pt>
                <c:pt idx="2">
                  <c:v>0.35001795864085544</c:v>
                </c:pt>
                <c:pt idx="3">
                  <c:v>0.46669061152114055</c:v>
                </c:pt>
                <c:pt idx="4">
                  <c:v>0.58336326440142572</c:v>
                </c:pt>
                <c:pt idx="5">
                  <c:v>0.70003591728171088</c:v>
                </c:pt>
                <c:pt idx="6">
                  <c:v>0.81670857016199594</c:v>
                </c:pt>
                <c:pt idx="7">
                  <c:v>0.93338122304228111</c:v>
                </c:pt>
                <c:pt idx="8">
                  <c:v>1.0500538759225664</c:v>
                </c:pt>
                <c:pt idx="9">
                  <c:v>1.1667265288028514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40 psig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0.19137232451689171</c:v>
                </c:pt>
                <c:pt idx="1">
                  <c:v>0.38274464903378341</c:v>
                </c:pt>
                <c:pt idx="2">
                  <c:v>0.57411697355067515</c:v>
                </c:pt>
                <c:pt idx="3">
                  <c:v>0.76548929806756683</c:v>
                </c:pt>
                <c:pt idx="4">
                  <c:v>0.9568616225844585</c:v>
                </c:pt>
                <c:pt idx="5">
                  <c:v>1.1482339471013503</c:v>
                </c:pt>
                <c:pt idx="6">
                  <c:v>1.3396062716182415</c:v>
                </c:pt>
                <c:pt idx="7">
                  <c:v>1.5309785961351337</c:v>
                </c:pt>
                <c:pt idx="8">
                  <c:v>1.7223509206520253</c:v>
                </c:pt>
                <c:pt idx="9">
                  <c:v>1.913723245168917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60 psig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0.24852736019600272</c:v>
                </c:pt>
                <c:pt idx="1">
                  <c:v>0.49705472039200543</c:v>
                </c:pt>
                <c:pt idx="2">
                  <c:v>0.74558208058800812</c:v>
                </c:pt>
                <c:pt idx="3">
                  <c:v>0.99410944078401087</c:v>
                </c:pt>
                <c:pt idx="4">
                  <c:v>1.2426368009800133</c:v>
                </c:pt>
                <c:pt idx="5">
                  <c:v>1.4911641611760162</c:v>
                </c:pt>
                <c:pt idx="6">
                  <c:v>1.7396915213720188</c:v>
                </c:pt>
                <c:pt idx="7">
                  <c:v>1.9882188815680217</c:v>
                </c:pt>
                <c:pt idx="8">
                  <c:v>2.236746241764024</c:v>
                </c:pt>
                <c:pt idx="9">
                  <c:v>2.4852736019600266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70"/>
  <sheetViews>
    <sheetView tabSelected="1" topLeftCell="A13" zoomScale="103" workbookViewId="0">
      <selection activeCell="L42" sqref="L42"/>
    </sheetView>
  </sheetViews>
  <sheetFormatPr baseColWidth="10" defaultRowHeight="16" x14ac:dyDescent="0.2"/>
  <cols>
    <col min="10" max="10" width="19.6640625" customWidth="1"/>
    <col min="11" max="11" width="13.33203125" customWidth="1"/>
    <col min="12" max="12" width="12.5" customWidth="1"/>
  </cols>
  <sheetData>
    <row r="2" spans="1:14" x14ac:dyDescent="0.2">
      <c r="A2" s="3" t="s">
        <v>733</v>
      </c>
      <c r="B2" s="3" t="s">
        <v>729</v>
      </c>
      <c r="C2" s="3">
        <v>3.95</v>
      </c>
      <c r="H2">
        <v>0.63</v>
      </c>
      <c r="I2" t="s">
        <v>697</v>
      </c>
    </row>
    <row r="3" spans="1:14" x14ac:dyDescent="0.2">
      <c r="A3" s="3" t="s">
        <v>732</v>
      </c>
      <c r="B3" s="3" t="s">
        <v>728</v>
      </c>
      <c r="C3" s="3">
        <v>0.7</v>
      </c>
      <c r="H3">
        <v>0.64</v>
      </c>
      <c r="I3" t="s">
        <v>3</v>
      </c>
    </row>
    <row r="4" spans="1:14" x14ac:dyDescent="0.2">
      <c r="A4" s="3" t="s">
        <v>731</v>
      </c>
      <c r="B4" s="3" t="s">
        <v>730</v>
      </c>
      <c r="C4" s="3">
        <v>0.63</v>
      </c>
      <c r="E4" s="3" t="s">
        <v>700</v>
      </c>
      <c r="F4">
        <v>0.63</v>
      </c>
      <c r="G4" t="s">
        <v>4</v>
      </c>
      <c r="H4">
        <v>0.79</v>
      </c>
      <c r="I4" s="4" t="s">
        <v>8</v>
      </c>
    </row>
    <row r="6" spans="1:14" x14ac:dyDescent="0.2">
      <c r="A6" t="s">
        <v>346</v>
      </c>
      <c r="B6" t="s">
        <v>347</v>
      </c>
      <c r="C6" t="s">
        <v>1</v>
      </c>
      <c r="D6" t="s">
        <v>2</v>
      </c>
      <c r="E6" t="s">
        <v>0</v>
      </c>
      <c r="F6" t="s">
        <v>348</v>
      </c>
      <c r="G6" s="3" t="s">
        <v>5</v>
      </c>
      <c r="H6" s="3" t="s">
        <v>6</v>
      </c>
      <c r="I6" s="3" t="s">
        <v>7</v>
      </c>
      <c r="K6" s="3" t="s">
        <v>739</v>
      </c>
    </row>
    <row r="7" spans="1:14" x14ac:dyDescent="0.2">
      <c r="M7">
        <v>2.5</v>
      </c>
      <c r="N7">
        <v>10</v>
      </c>
    </row>
    <row r="8" spans="1:14" x14ac:dyDescent="0.2">
      <c r="A8" s="26">
        <v>1.37</v>
      </c>
      <c r="B8" s="26">
        <v>12</v>
      </c>
      <c r="C8" s="28">
        <f t="shared" ref="C8:D11" si="0">A8*2.54</f>
        <v>3.4798000000000004</v>
      </c>
      <c r="D8" s="26">
        <f t="shared" si="0"/>
        <v>30.48</v>
      </c>
      <c r="E8" s="28">
        <f>PI() * (C8/2)^2 * D8 /1000</f>
        <v>0.28987676873951496</v>
      </c>
      <c r="F8" s="26">
        <v>1</v>
      </c>
      <c r="G8" s="28">
        <f>E8*F$4</f>
        <v>0.18262236430589443</v>
      </c>
      <c r="H8" s="28">
        <f t="shared" ref="H8" si="1">F8*G8</f>
        <v>0.18262236430589443</v>
      </c>
      <c r="I8" s="28">
        <f>H8*2.2</f>
        <v>0.4017692014729678</v>
      </c>
      <c r="J8" t="s">
        <v>789</v>
      </c>
      <c r="K8" s="1">
        <f>E8*(1-M$34)</f>
        <v>8.6963030621854495E-2</v>
      </c>
      <c r="M8" s="1">
        <f>H18/M7</f>
        <v>1.3891805980191367</v>
      </c>
      <c r="N8" s="1">
        <f>N7*M8</f>
        <v>13.891805980191368</v>
      </c>
    </row>
    <row r="9" spans="1:14" x14ac:dyDescent="0.2">
      <c r="A9">
        <v>1.37</v>
      </c>
      <c r="B9">
        <v>18</v>
      </c>
      <c r="C9" s="1">
        <f t="shared" si="0"/>
        <v>3.4798000000000004</v>
      </c>
      <c r="D9">
        <f t="shared" si="0"/>
        <v>45.72</v>
      </c>
      <c r="E9" s="1">
        <f>PI() * (C9/2)^2 * D9 /1000</f>
        <v>0.43481515310927238</v>
      </c>
      <c r="F9">
        <v>1</v>
      </c>
      <c r="G9" s="1">
        <f>E9*F$4</f>
        <v>0.2739335464588416</v>
      </c>
      <c r="H9" s="1">
        <f>F9*G9</f>
        <v>0.2739335464588416</v>
      </c>
      <c r="I9" s="1">
        <f>H9*2.2</f>
        <v>0.60265380220945153</v>
      </c>
      <c r="K9" s="1">
        <f t="shared" ref="K9:K36" si="2">E9*(1-M$34)</f>
        <v>0.13044454593278174</v>
      </c>
    </row>
    <row r="10" spans="1:14" x14ac:dyDescent="0.2">
      <c r="A10" s="26">
        <v>1.37</v>
      </c>
      <c r="B10" s="26">
        <v>25</v>
      </c>
      <c r="C10" s="28">
        <f t="shared" si="0"/>
        <v>3.4798000000000004</v>
      </c>
      <c r="D10" s="26">
        <f t="shared" si="0"/>
        <v>63.5</v>
      </c>
      <c r="E10" s="28">
        <f>PI() * (C10/2)^2 * D10 /1000</f>
        <v>0.60390993487398936</v>
      </c>
      <c r="F10" s="26">
        <v>1</v>
      </c>
      <c r="G10" s="28">
        <f>E10*F$4</f>
        <v>0.38046325897061328</v>
      </c>
      <c r="H10" s="28">
        <f t="shared" ref="H10" si="3">F10*G10</f>
        <v>0.38046325897061328</v>
      </c>
      <c r="I10" s="28">
        <f>H10*2.2</f>
        <v>0.83701916973534929</v>
      </c>
      <c r="J10" t="s">
        <v>790</v>
      </c>
      <c r="K10" s="1">
        <f t="shared" si="2"/>
        <v>0.18117298046219685</v>
      </c>
    </row>
    <row r="11" spans="1:14" x14ac:dyDescent="0.2">
      <c r="A11">
        <v>1.37</v>
      </c>
      <c r="B11">
        <v>37</v>
      </c>
      <c r="C11" s="1">
        <f t="shared" si="0"/>
        <v>3.4798000000000004</v>
      </c>
      <c r="D11">
        <f t="shared" si="0"/>
        <v>93.98</v>
      </c>
      <c r="E11" s="2">
        <f>PI() * (C11/2)^2 * D11 /1000</f>
        <v>0.89378670361350443</v>
      </c>
      <c r="F11">
        <v>1</v>
      </c>
      <c r="G11" s="1">
        <f>E11*F$4</f>
        <v>0.5630856232765078</v>
      </c>
      <c r="H11" s="1">
        <f>F11*G11</f>
        <v>0.5630856232765078</v>
      </c>
      <c r="I11" s="1">
        <f>H11*2.2</f>
        <v>1.2387883712083172</v>
      </c>
      <c r="K11" s="1">
        <f t="shared" si="2"/>
        <v>0.26813601108405138</v>
      </c>
    </row>
    <row r="12" spans="1:14" x14ac:dyDescent="0.2">
      <c r="C12" s="1"/>
      <c r="G12" s="1"/>
      <c r="K12" s="1"/>
    </row>
    <row r="13" spans="1:14" x14ac:dyDescent="0.2">
      <c r="A13">
        <v>1.8720000000000001</v>
      </c>
      <c r="B13">
        <v>14</v>
      </c>
      <c r="C13" s="1">
        <f t="shared" ref="C13:D15" si="4">A13*2.54</f>
        <v>4.75488</v>
      </c>
      <c r="D13">
        <f t="shared" si="4"/>
        <v>35.56</v>
      </c>
      <c r="E13" s="2">
        <f>PI() * (C13/2)^2 * D13 /1000</f>
        <v>0.6314380603119677</v>
      </c>
      <c r="F13">
        <v>1</v>
      </c>
      <c r="G13" s="1">
        <f>E13*F$4</f>
        <v>0.39780597799653966</v>
      </c>
      <c r="H13" s="1">
        <f t="shared" ref="H13" si="5">F13*G13</f>
        <v>0.39780597799653966</v>
      </c>
      <c r="I13" s="1">
        <f>H13*2.2</f>
        <v>0.87517315159238729</v>
      </c>
      <c r="K13" s="1">
        <f t="shared" si="2"/>
        <v>0.18943141809359035</v>
      </c>
    </row>
    <row r="14" spans="1:14" x14ac:dyDescent="0.2">
      <c r="A14">
        <v>1.8720000000000001</v>
      </c>
      <c r="B14">
        <v>20</v>
      </c>
      <c r="C14" s="1">
        <f t="shared" si="4"/>
        <v>4.75488</v>
      </c>
      <c r="D14">
        <f t="shared" si="4"/>
        <v>50.8</v>
      </c>
      <c r="E14" s="2">
        <f>PI() * (C14/2)^2 * D14 /1000</f>
        <v>0.90205437187423942</v>
      </c>
      <c r="F14">
        <v>1</v>
      </c>
      <c r="G14" s="1">
        <f>E14*F$4</f>
        <v>0.56829425428077085</v>
      </c>
      <c r="H14" s="1">
        <f t="shared" ref="H14" si="6">F14*G14</f>
        <v>0.56829425428077085</v>
      </c>
      <c r="I14" s="1">
        <f>H14*2.2</f>
        <v>1.2502473594176959</v>
      </c>
      <c r="J14" t="s">
        <v>788</v>
      </c>
      <c r="K14" s="1">
        <f t="shared" si="2"/>
        <v>0.27061631156227189</v>
      </c>
    </row>
    <row r="15" spans="1:14" x14ac:dyDescent="0.2">
      <c r="A15">
        <v>1.8720000000000001</v>
      </c>
      <c r="B15">
        <v>26</v>
      </c>
      <c r="C15" s="1">
        <f t="shared" si="4"/>
        <v>4.75488</v>
      </c>
      <c r="D15">
        <f t="shared" si="4"/>
        <v>66.040000000000006</v>
      </c>
      <c r="E15" s="2">
        <f>PI() * (C15/2)^2 * D15 /1000</f>
        <v>1.1726706834365113</v>
      </c>
      <c r="F15">
        <v>1</v>
      </c>
      <c r="G15" s="1">
        <f>E15*F$4</f>
        <v>0.73878253056500209</v>
      </c>
      <c r="H15" s="1">
        <f t="shared" ref="H15" si="7">F15*G15</f>
        <v>0.73878253056500209</v>
      </c>
      <c r="I15" s="1">
        <f>H15*2.2</f>
        <v>1.6253215672430048</v>
      </c>
      <c r="K15" s="1">
        <f t="shared" si="2"/>
        <v>0.35180120503095341</v>
      </c>
      <c r="L15">
        <f>A9*25.4</f>
        <v>34.798000000000002</v>
      </c>
      <c r="M15">
        <f>24*60</f>
        <v>1440</v>
      </c>
      <c r="N15" t="s">
        <v>290</v>
      </c>
    </row>
    <row r="16" spans="1:14" x14ac:dyDescent="0.2">
      <c r="C16" s="1"/>
      <c r="G16" s="1"/>
      <c r="K16" s="1"/>
    </row>
    <row r="17" spans="1:16" x14ac:dyDescent="0.2">
      <c r="A17" s="26">
        <v>2.87</v>
      </c>
      <c r="B17" s="26">
        <v>20</v>
      </c>
      <c r="C17" s="28">
        <f t="shared" ref="C17:D19" si="8">A17*2.54</f>
        <v>7.2898000000000005</v>
      </c>
      <c r="D17" s="26">
        <f t="shared" si="8"/>
        <v>50.8</v>
      </c>
      <c r="E17" s="27">
        <f>PI() * (C17/2)^2 * D17 /1000</f>
        <v>2.1202390079657154</v>
      </c>
      <c r="F17" s="26">
        <v>2</v>
      </c>
      <c r="G17" s="28">
        <f>E17*F$4</f>
        <v>1.3357505750184007</v>
      </c>
      <c r="H17" s="28">
        <f>F17*G17</f>
        <v>2.6715011500368013</v>
      </c>
      <c r="I17" s="28">
        <f>H17*2.2</f>
        <v>5.8773025300809634</v>
      </c>
      <c r="J17" t="s">
        <v>698</v>
      </c>
      <c r="K17" s="1">
        <f t="shared" si="2"/>
        <v>0.63607170238971467</v>
      </c>
      <c r="M17">
        <v>1000</v>
      </c>
      <c r="N17" t="s">
        <v>291</v>
      </c>
    </row>
    <row r="18" spans="1:16" x14ac:dyDescent="0.2">
      <c r="A18" s="26">
        <v>2.87</v>
      </c>
      <c r="B18" s="26">
        <v>26</v>
      </c>
      <c r="C18" s="28">
        <f t="shared" si="8"/>
        <v>7.2898000000000005</v>
      </c>
      <c r="D18" s="26">
        <f t="shared" si="8"/>
        <v>66.040000000000006</v>
      </c>
      <c r="E18" s="27">
        <f>PI() * (C18/2)^2 * D18 /1000</f>
        <v>2.7563107103554301</v>
      </c>
      <c r="F18" s="26">
        <v>2</v>
      </c>
      <c r="G18" s="28">
        <f>E18*F$4</f>
        <v>1.736475747523921</v>
      </c>
      <c r="H18" s="28">
        <f>F18*G18</f>
        <v>3.472951495047842</v>
      </c>
      <c r="I18" s="28">
        <f>H18*2.2</f>
        <v>7.6404932891052528</v>
      </c>
      <c r="J18" t="s">
        <v>699</v>
      </c>
      <c r="K18" s="1">
        <f t="shared" si="2"/>
        <v>0.82689321310662911</v>
      </c>
    </row>
    <row r="19" spans="1:16" x14ac:dyDescent="0.2">
      <c r="A19" s="26">
        <v>2.87</v>
      </c>
      <c r="B19" s="26">
        <v>38</v>
      </c>
      <c r="C19" s="28">
        <f t="shared" si="8"/>
        <v>7.2898000000000005</v>
      </c>
      <c r="D19" s="26">
        <f t="shared" si="8"/>
        <v>96.52</v>
      </c>
      <c r="E19" s="27">
        <f>PI() * (C19/2)^2 * D19 /1000</f>
        <v>4.028454115134859</v>
      </c>
      <c r="F19" s="26">
        <v>2</v>
      </c>
      <c r="G19" s="28">
        <f>E19*F$4</f>
        <v>2.5379260925349612</v>
      </c>
      <c r="H19" s="28">
        <f>F19*G19</f>
        <v>5.0758521850699223</v>
      </c>
      <c r="I19" s="28">
        <f>H19*2.2</f>
        <v>11.16687480715383</v>
      </c>
      <c r="K19" s="1">
        <f t="shared" si="2"/>
        <v>1.2085362345404578</v>
      </c>
      <c r="M19">
        <v>20</v>
      </c>
      <c r="N19" t="s">
        <v>292</v>
      </c>
    </row>
    <row r="20" spans="1:16" x14ac:dyDescent="0.2">
      <c r="C20" s="1"/>
      <c r="G20" s="1"/>
      <c r="K20" s="1"/>
      <c r="M20" s="2">
        <f>M19/M15*M17</f>
        <v>13.888888888888888</v>
      </c>
      <c r="N20" t="s">
        <v>17</v>
      </c>
    </row>
    <row r="21" spans="1:16" x14ac:dyDescent="0.2">
      <c r="A21">
        <v>3.37</v>
      </c>
      <c r="B21">
        <v>10</v>
      </c>
      <c r="C21" s="1">
        <f t="shared" ref="C21:D22" si="9">A21*2.54</f>
        <v>8.559800000000001</v>
      </c>
      <c r="D21">
        <f t="shared" si="9"/>
        <v>25.4</v>
      </c>
      <c r="E21" s="2">
        <f>PI() * (C21/2)^2 * D21 /1000</f>
        <v>1.4616750470180424</v>
      </c>
      <c r="F21">
        <v>1</v>
      </c>
      <c r="G21" s="1">
        <f>E21*F$4</f>
        <v>0.92085527962136671</v>
      </c>
      <c r="H21" s="1">
        <f>F21*G21</f>
        <v>0.92085527962136671</v>
      </c>
      <c r="I21" s="1">
        <f>H21*2.2</f>
        <v>2.0258816151670067</v>
      </c>
      <c r="K21" s="1">
        <f t="shared" si="2"/>
        <v>0.4385025141054128</v>
      </c>
    </row>
    <row r="22" spans="1:16" x14ac:dyDescent="0.2">
      <c r="A22" s="26">
        <v>3.37</v>
      </c>
      <c r="B22" s="26">
        <v>11</v>
      </c>
      <c r="C22" s="28">
        <f t="shared" si="9"/>
        <v>8.559800000000001</v>
      </c>
      <c r="D22" s="26">
        <f t="shared" si="9"/>
        <v>27.94</v>
      </c>
      <c r="E22" s="27">
        <f>PI() * (C22/2)^2 * D22 /1000</f>
        <v>1.6078425517198471</v>
      </c>
      <c r="F22" s="26">
        <v>1</v>
      </c>
      <c r="G22" s="28">
        <f>E22*F$4</f>
        <v>1.0129408075835038</v>
      </c>
      <c r="H22" s="28">
        <f>F22*G22</f>
        <v>1.0129408075835038</v>
      </c>
      <c r="I22" s="28">
        <f>H22*2.2</f>
        <v>2.2284697766837085</v>
      </c>
      <c r="J22" t="s">
        <v>372</v>
      </c>
      <c r="K22" s="1">
        <f t="shared" si="2"/>
        <v>0.48235276551595418</v>
      </c>
    </row>
    <row r="23" spans="1:16" x14ac:dyDescent="0.2">
      <c r="C23" s="1"/>
      <c r="G23" s="1"/>
      <c r="K23" s="1"/>
    </row>
    <row r="24" spans="1:16" x14ac:dyDescent="0.2">
      <c r="A24">
        <v>3.37</v>
      </c>
      <c r="B24">
        <v>20</v>
      </c>
      <c r="C24" s="1">
        <f>A24*2.54</f>
        <v>8.559800000000001</v>
      </c>
      <c r="D24">
        <f>B24*2.54</f>
        <v>50.8</v>
      </c>
      <c r="E24" s="2">
        <f>PI() * (C24/2)^2 * D24 /1000</f>
        <v>2.9233500940360848</v>
      </c>
      <c r="F24">
        <v>1</v>
      </c>
      <c r="G24" s="1">
        <f>E24*F$4</f>
        <v>1.8417105592427334</v>
      </c>
      <c r="H24" s="1">
        <f>F24*G24</f>
        <v>1.8417105592427334</v>
      </c>
      <c r="I24" s="1">
        <f>H24*2.2</f>
        <v>4.0517632303340134</v>
      </c>
      <c r="K24" s="1">
        <f t="shared" si="2"/>
        <v>0.8770050282108256</v>
      </c>
    </row>
    <row r="25" spans="1:16" x14ac:dyDescent="0.2">
      <c r="A25" s="26">
        <v>3.37</v>
      </c>
      <c r="B25" s="26">
        <v>21</v>
      </c>
      <c r="C25" s="28">
        <f>A25*2.54</f>
        <v>8.559800000000001</v>
      </c>
      <c r="D25" s="26">
        <f>B25*2.54</f>
        <v>53.34</v>
      </c>
      <c r="E25" s="27">
        <f>PI() * (C25/2)^2 * D25 /1000</f>
        <v>3.0695175987378898</v>
      </c>
      <c r="F25" s="26">
        <v>1</v>
      </c>
      <c r="G25" s="28">
        <f>E25*F$4</f>
        <v>1.9337960872048705</v>
      </c>
      <c r="H25" s="28">
        <f>F25*G25</f>
        <v>1.9337960872048705</v>
      </c>
      <c r="I25" s="28">
        <f>H25*2.2</f>
        <v>4.2543513918507152</v>
      </c>
      <c r="J25" t="s">
        <v>373</v>
      </c>
      <c r="K25" s="1">
        <f t="shared" si="2"/>
        <v>0.92085527962136704</v>
      </c>
    </row>
    <row r="26" spans="1:16" x14ac:dyDescent="0.2">
      <c r="C26" s="1"/>
      <c r="G26" s="1"/>
      <c r="K26" s="1"/>
      <c r="L26" s="23" t="s">
        <v>357</v>
      </c>
      <c r="M26" s="3">
        <v>4.5</v>
      </c>
      <c r="N26" t="s">
        <v>355</v>
      </c>
    </row>
    <row r="27" spans="1:16" x14ac:dyDescent="0.2">
      <c r="A27">
        <v>3.87</v>
      </c>
      <c r="B27">
        <v>12</v>
      </c>
      <c r="C27" s="1">
        <f t="shared" ref="C27" si="10">A27*2.54</f>
        <v>9.8298000000000005</v>
      </c>
      <c r="D27">
        <f t="shared" ref="D27" si="11">B27*2.54</f>
        <v>30.48</v>
      </c>
      <c r="E27" s="2">
        <f>PI() * (C27/2)^2 * D27 /1000</f>
        <v>2.3130989278783316</v>
      </c>
      <c r="F27">
        <v>1</v>
      </c>
      <c r="G27" s="1">
        <f>E27*F$4</f>
        <v>1.4572523245633489</v>
      </c>
      <c r="H27" s="1">
        <f>F27*G27</f>
        <v>1.4572523245633489</v>
      </c>
      <c r="I27" s="1">
        <f>H27*2.2</f>
        <v>3.2059551140393676</v>
      </c>
      <c r="K27" s="1"/>
      <c r="L27" s="23" t="s">
        <v>358</v>
      </c>
      <c r="M27" s="3">
        <v>50</v>
      </c>
      <c r="N27" t="s">
        <v>356</v>
      </c>
      <c r="O27" t="s">
        <v>829</v>
      </c>
      <c r="P27" t="s">
        <v>828</v>
      </c>
    </row>
    <row r="28" spans="1:16" x14ac:dyDescent="0.2">
      <c r="A28">
        <v>3.87</v>
      </c>
      <c r="B28">
        <v>18</v>
      </c>
      <c r="C28" s="1">
        <f>A28*2.54</f>
        <v>9.8298000000000005</v>
      </c>
      <c r="D28">
        <f>B28*2.54</f>
        <v>45.72</v>
      </c>
      <c r="E28" s="2">
        <f>PI() * (C28/2)^2 * D28 /1000</f>
        <v>3.4696483918174978</v>
      </c>
      <c r="F28">
        <v>1</v>
      </c>
      <c r="G28" s="1">
        <f>E28*F$4</f>
        <v>2.1858784868450236</v>
      </c>
      <c r="H28" s="1">
        <f>F28*G28</f>
        <v>2.1858784868450236</v>
      </c>
      <c r="I28" s="1">
        <f>H28*2.2</f>
        <v>4.8089326710590523</v>
      </c>
      <c r="K28" s="1">
        <f t="shared" si="2"/>
        <v>1.0408945175452495</v>
      </c>
      <c r="L28" s="23" t="s">
        <v>359</v>
      </c>
      <c r="M28" s="3">
        <v>30</v>
      </c>
      <c r="N28" t="s">
        <v>356</v>
      </c>
      <c r="O28" t="s">
        <v>830</v>
      </c>
    </row>
    <row r="29" spans="1:16" x14ac:dyDescent="0.2">
      <c r="A29">
        <v>3.87</v>
      </c>
      <c r="B29">
        <v>36.5</v>
      </c>
      <c r="C29" s="1">
        <f t="shared" ref="C29" si="12">A29*2.54</f>
        <v>9.8298000000000005</v>
      </c>
      <c r="D29">
        <f t="shared" ref="D29" si="13">B29*2.54</f>
        <v>92.710000000000008</v>
      </c>
      <c r="E29" s="2">
        <f>PI() * (C29/2)^2 * D29 /1000</f>
        <v>7.0356759056299261</v>
      </c>
      <c r="F29">
        <v>1</v>
      </c>
      <c r="G29" s="1">
        <f>E29*F$4</f>
        <v>4.4324758205468537</v>
      </c>
      <c r="H29" s="1">
        <f>F29*G29</f>
        <v>4.4324758205468537</v>
      </c>
      <c r="I29" s="1">
        <f>H29*2.2</f>
        <v>9.7514468052030789</v>
      </c>
      <c r="K29" s="1">
        <f t="shared" si="2"/>
        <v>2.1107027716889784</v>
      </c>
      <c r="L29" s="23" t="s">
        <v>701</v>
      </c>
      <c r="M29" s="21">
        <f>M26*(M27-M28)/100</f>
        <v>0.9</v>
      </c>
      <c r="N29" t="s">
        <v>355</v>
      </c>
    </row>
    <row r="30" spans="1:16" x14ac:dyDescent="0.2">
      <c r="A30">
        <v>3.87</v>
      </c>
      <c r="B30">
        <v>48</v>
      </c>
      <c r="C30" s="1">
        <f t="shared" ref="C30" si="14">A30*2.54</f>
        <v>9.8298000000000005</v>
      </c>
      <c r="D30">
        <f t="shared" ref="D30" si="15">B30*2.54</f>
        <v>121.92</v>
      </c>
      <c r="E30" s="2">
        <f>PI() * (C30/2)^2 * D30 /1000</f>
        <v>9.2523957115133264</v>
      </c>
      <c r="F30">
        <v>1</v>
      </c>
      <c r="G30" s="1">
        <f>E30*F$4</f>
        <v>5.8290092982533954</v>
      </c>
      <c r="H30" s="1">
        <f>F30*G30</f>
        <v>5.8290092982533954</v>
      </c>
      <c r="I30" s="1">
        <f>H30*2.2</f>
        <v>12.82382045615747</v>
      </c>
      <c r="K30" s="1">
        <f t="shared" si="2"/>
        <v>2.7757187134539985</v>
      </c>
      <c r="L30" s="23" t="s">
        <v>360</v>
      </c>
      <c r="M30" s="3">
        <v>5</v>
      </c>
      <c r="N30" t="s">
        <v>17</v>
      </c>
    </row>
    <row r="31" spans="1:16" x14ac:dyDescent="0.2">
      <c r="C31" s="1"/>
      <c r="K31" s="1"/>
      <c r="L31" s="23" t="s">
        <v>361</v>
      </c>
      <c r="M31" s="21">
        <f>M29/M30*60</f>
        <v>10.799999999999999</v>
      </c>
      <c r="N31" t="s">
        <v>362</v>
      </c>
    </row>
    <row r="32" spans="1:16" x14ac:dyDescent="0.2">
      <c r="C32" s="1"/>
      <c r="K32" s="1"/>
      <c r="L32" s="23"/>
      <c r="M32" s="3"/>
    </row>
    <row r="33" spans="1:13" x14ac:dyDescent="0.2">
      <c r="A33" s="26">
        <v>3.0680000000000001</v>
      </c>
      <c r="B33" s="26">
        <v>17</v>
      </c>
      <c r="C33" s="28">
        <f>A33*2.54</f>
        <v>7.7927200000000001</v>
      </c>
      <c r="D33" s="26">
        <f>B33*2.54</f>
        <v>43.18</v>
      </c>
      <c r="E33" s="27">
        <f>PI() * (C33/2)^2 * D33 /1000</f>
        <v>2.0594472054167392</v>
      </c>
      <c r="F33" s="26">
        <v>2</v>
      </c>
      <c r="G33" s="28">
        <f>E33*F$4</f>
        <v>1.2974517394125458</v>
      </c>
      <c r="H33" s="28">
        <f>F33*G33</f>
        <v>2.5949034788250915</v>
      </c>
      <c r="I33" s="28">
        <f>H33*2.2</f>
        <v>5.708787653415202</v>
      </c>
      <c r="K33" s="1">
        <f t="shared" si="2"/>
        <v>0.6178341616250218</v>
      </c>
      <c r="L33" s="23"/>
      <c r="M33" s="3"/>
    </row>
    <row r="34" spans="1:13" x14ac:dyDescent="0.2">
      <c r="K34" s="1"/>
      <c r="L34" s="23" t="s">
        <v>738</v>
      </c>
      <c r="M34" s="3">
        <v>0.7</v>
      </c>
    </row>
    <row r="35" spans="1:13" x14ac:dyDescent="0.2">
      <c r="A35" s="26">
        <v>2.87</v>
      </c>
      <c r="B35" s="26">
        <v>12</v>
      </c>
      <c r="C35" s="28">
        <f t="shared" ref="C35" si="16">A35*2.54</f>
        <v>7.2898000000000005</v>
      </c>
      <c r="D35" s="26">
        <f t="shared" ref="D35" si="17">B35*2.54</f>
        <v>30.48</v>
      </c>
      <c r="E35" s="27">
        <f>PI() * (C35/2)^2 * D35 /1000</f>
        <v>1.2721434047794291</v>
      </c>
      <c r="F35" s="26">
        <v>2</v>
      </c>
      <c r="G35" s="28">
        <f>E35*F$4</f>
        <v>0.8014503450110404</v>
      </c>
      <c r="H35" s="28">
        <f>F35*G35</f>
        <v>1.6029006900220808</v>
      </c>
      <c r="I35" s="28">
        <f>H35*2.2</f>
        <v>3.526381518048578</v>
      </c>
      <c r="J35" t="s">
        <v>854</v>
      </c>
      <c r="K35" s="1"/>
    </row>
    <row r="36" spans="1:13" x14ac:dyDescent="0.2">
      <c r="A36">
        <v>5.87</v>
      </c>
      <c r="B36">
        <v>12</v>
      </c>
      <c r="C36" s="1">
        <f t="shared" ref="C36" si="18">A36*2.54</f>
        <v>14.909800000000001</v>
      </c>
      <c r="D36">
        <f t="shared" ref="D36" si="19">B36*2.54</f>
        <v>30.48</v>
      </c>
      <c r="E36" s="2">
        <f>PI() * (C36/2)^2 * D36 /1000</f>
        <v>5.3216766118496412</v>
      </c>
      <c r="F36">
        <v>1</v>
      </c>
      <c r="G36" s="1">
        <f>E36*F$4</f>
        <v>3.3526562654652738</v>
      </c>
      <c r="H36" s="1">
        <f>F36*G36</f>
        <v>3.3526562654652738</v>
      </c>
      <c r="I36" s="1">
        <f>H36*2.2</f>
        <v>7.3758437840236031</v>
      </c>
      <c r="K36" s="1">
        <f>E37*(1-M$34)</f>
        <v>4.8560299083127987</v>
      </c>
    </row>
    <row r="37" spans="1:13" x14ac:dyDescent="0.2">
      <c r="A37">
        <v>5.87</v>
      </c>
      <c r="B37">
        <v>36.5</v>
      </c>
      <c r="C37" s="1">
        <f t="shared" ref="C37" si="20">A37*2.54</f>
        <v>14.909800000000001</v>
      </c>
      <c r="D37">
        <f t="shared" ref="D37" si="21">B37*2.54</f>
        <v>92.710000000000008</v>
      </c>
      <c r="E37" s="2">
        <f>PI() * (C37/2)^2 * D37 /1000</f>
        <v>16.186766361042661</v>
      </c>
      <c r="F37">
        <v>1</v>
      </c>
      <c r="G37" s="1">
        <f>E37*F$4</f>
        <v>10.197662807456876</v>
      </c>
      <c r="H37" s="1">
        <f>F37*G37</f>
        <v>10.197662807456876</v>
      </c>
      <c r="I37" s="1">
        <f>H37*2.2</f>
        <v>22.434858176405129</v>
      </c>
      <c r="J37" t="s">
        <v>786</v>
      </c>
    </row>
    <row r="40" spans="1:13" x14ac:dyDescent="0.2">
      <c r="A40" s="26">
        <v>2.37</v>
      </c>
      <c r="B40" s="26">
        <v>20</v>
      </c>
      <c r="C40" s="28">
        <f>A40*2.54</f>
        <v>6.0198</v>
      </c>
      <c r="D40" s="26">
        <f>B40*2.54</f>
        <v>50.8</v>
      </c>
      <c r="E40" s="27">
        <f>PI() * (C40/2)^2 * D40 /1000</f>
        <v>1.4458316215861093</v>
      </c>
      <c r="F40" s="26">
        <v>2</v>
      </c>
      <c r="G40" s="28">
        <f>E40*F$4</f>
        <v>0.91087392159924885</v>
      </c>
      <c r="H40" s="28">
        <f>F40*G40</f>
        <v>1.8217478431984977</v>
      </c>
      <c r="I40" s="28">
        <f>H40*2.2</f>
        <v>4.0078452550366954</v>
      </c>
      <c r="J40" t="s">
        <v>787</v>
      </c>
    </row>
    <row r="43" spans="1:13" x14ac:dyDescent="0.2">
      <c r="A43">
        <v>4.87</v>
      </c>
      <c r="B43">
        <v>36.5</v>
      </c>
      <c r="C43" s="1">
        <f t="shared" ref="C43" si="22">A43*2.54</f>
        <v>12.3698</v>
      </c>
      <c r="D43">
        <f t="shared" ref="D43" si="23">B43*2.54</f>
        <v>92.710000000000008</v>
      </c>
      <c r="E43" s="2">
        <f>PI() * (C43/2)^2 * D43 /1000</f>
        <v>11.141452629465002</v>
      </c>
      <c r="F43">
        <v>1</v>
      </c>
      <c r="G43" s="1">
        <f>E43*F$4</f>
        <v>7.0191151565629513</v>
      </c>
      <c r="H43" s="1">
        <f>F43*G43</f>
        <v>7.0191151565629513</v>
      </c>
      <c r="I43" s="1">
        <f>H43*2.2</f>
        <v>15.442053344438493</v>
      </c>
    </row>
    <row r="46" spans="1:13" x14ac:dyDescent="0.2">
      <c r="A46" s="26"/>
      <c r="B46" s="26"/>
      <c r="C46" s="28">
        <v>7.1</v>
      </c>
      <c r="D46" s="26">
        <v>44</v>
      </c>
      <c r="E46" s="27">
        <f>PI() * (C46/2)^2 * D46 /1000</f>
        <v>1.7420445423420763</v>
      </c>
      <c r="F46" s="26">
        <v>2</v>
      </c>
      <c r="G46" s="28">
        <f>E46*F$4</f>
        <v>1.0974880616755081</v>
      </c>
      <c r="H46" s="28">
        <f>F46*G46</f>
        <v>2.1949761233510161</v>
      </c>
      <c r="I46" s="28">
        <f>H46*2.2</f>
        <v>4.8289474713722358</v>
      </c>
      <c r="J46" t="s">
        <v>831</v>
      </c>
    </row>
    <row r="47" spans="1:13" x14ac:dyDescent="0.2">
      <c r="A47" s="26"/>
      <c r="B47" s="26"/>
      <c r="C47" s="28">
        <v>7.1</v>
      </c>
      <c r="D47" s="26">
        <v>52</v>
      </c>
      <c r="E47" s="27">
        <f>PI() * (C47/2)^2 * D47 /1000</f>
        <v>2.0587799136769989</v>
      </c>
      <c r="F47" s="26">
        <v>2</v>
      </c>
      <c r="G47" s="28">
        <f>E47*F$4</f>
        <v>1.2970313456165092</v>
      </c>
      <c r="H47" s="28">
        <f>F47*G47</f>
        <v>2.5940626912330185</v>
      </c>
      <c r="I47" s="28">
        <f>H47*2.2</f>
        <v>5.7069379207126412</v>
      </c>
      <c r="J47" t="s">
        <v>832</v>
      </c>
    </row>
    <row r="50" spans="1:16" x14ac:dyDescent="0.2">
      <c r="A50" s="26">
        <v>1.37</v>
      </c>
      <c r="B50" s="26">
        <v>12</v>
      </c>
      <c r="C50" s="28">
        <f>A50*2.54</f>
        <v>3.4798000000000004</v>
      </c>
      <c r="D50" s="26">
        <f>B50*2.54</f>
        <v>30.48</v>
      </c>
      <c r="E50" s="27">
        <f>PI() * (C50/2)^2 * D50 /1000</f>
        <v>0.28987676873951496</v>
      </c>
      <c r="F50" s="26">
        <v>1</v>
      </c>
      <c r="G50" s="28">
        <f>E50*F$4</f>
        <v>0.18262236430589443</v>
      </c>
      <c r="H50" s="28">
        <f>F50*G50</f>
        <v>0.18262236430589443</v>
      </c>
      <c r="I50" s="28">
        <f>H50*2.2</f>
        <v>0.4017692014729678</v>
      </c>
      <c r="J50" t="s">
        <v>836</v>
      </c>
    </row>
    <row r="51" spans="1:16" x14ac:dyDescent="0.2">
      <c r="L51" t="s">
        <v>847</v>
      </c>
    </row>
    <row r="52" spans="1:16" x14ac:dyDescent="0.2">
      <c r="K52" s="3" t="s">
        <v>841</v>
      </c>
      <c r="L52">
        <v>0.09</v>
      </c>
      <c r="M52">
        <v>0.09</v>
      </c>
      <c r="N52">
        <v>0.09</v>
      </c>
      <c r="O52">
        <v>0.09</v>
      </c>
      <c r="P52" t="s">
        <v>838</v>
      </c>
    </row>
    <row r="53" spans="1:16" x14ac:dyDescent="0.2">
      <c r="A53" s="26">
        <v>1.38</v>
      </c>
      <c r="B53" s="26">
        <v>18</v>
      </c>
      <c r="C53" s="28">
        <f>A53*2.54</f>
        <v>3.5051999999999999</v>
      </c>
      <c r="D53" s="26">
        <f>B53*2.54</f>
        <v>45.72</v>
      </c>
      <c r="E53" s="27">
        <f>PI() * (C53/2)^2 * D53 /1000</f>
        <v>0.44118598624396516</v>
      </c>
      <c r="F53" s="26">
        <v>1</v>
      </c>
      <c r="G53" s="28">
        <f>E53*F$4</f>
        <v>0.27794717133369806</v>
      </c>
      <c r="H53" s="28">
        <f>F53*G53</f>
        <v>0.27794717133369806</v>
      </c>
      <c r="I53" s="28">
        <f>H53*2.2</f>
        <v>0.6114837769341358</v>
      </c>
      <c r="J53" t="s">
        <v>849</v>
      </c>
      <c r="L53">
        <v>0.96499999999999997</v>
      </c>
      <c r="M53">
        <v>0.96499999999999997</v>
      </c>
      <c r="N53">
        <v>0.96499999999999997</v>
      </c>
      <c r="O53">
        <v>0.96499999999999997</v>
      </c>
      <c r="P53" t="s">
        <v>839</v>
      </c>
    </row>
    <row r="54" spans="1:16" x14ac:dyDescent="0.2">
      <c r="A54" s="26">
        <v>1.61</v>
      </c>
      <c r="B54" s="26">
        <v>18</v>
      </c>
      <c r="C54" s="28">
        <f>A54*2.54</f>
        <v>4.0894000000000004</v>
      </c>
      <c r="D54" s="26">
        <f>B54*2.54</f>
        <v>45.72</v>
      </c>
      <c r="E54" s="27">
        <f>PI() * (C54/2)^2 * D54 /1000</f>
        <v>0.60050314794317494</v>
      </c>
      <c r="F54" s="26">
        <v>1</v>
      </c>
      <c r="G54" s="28">
        <f>E54*F$4</f>
        <v>0.37831698320420021</v>
      </c>
      <c r="H54" s="28">
        <f>F54*G54</f>
        <v>0.37831698320420021</v>
      </c>
      <c r="I54" s="28">
        <f>H54*2.2</f>
        <v>0.83229736304924051</v>
      </c>
      <c r="J54" t="s">
        <v>850</v>
      </c>
      <c r="L54">
        <v>2.5</v>
      </c>
      <c r="M54">
        <v>2.5</v>
      </c>
      <c r="N54">
        <v>2.5</v>
      </c>
      <c r="O54">
        <v>2.5</v>
      </c>
      <c r="P54" t="s">
        <v>840</v>
      </c>
    </row>
    <row r="55" spans="1:16" x14ac:dyDescent="0.2">
      <c r="A55" s="26">
        <v>2.0670000000000002</v>
      </c>
      <c r="B55" s="26">
        <v>10</v>
      </c>
      <c r="C55" s="28">
        <f>A55*2.54</f>
        <v>5.2501800000000003</v>
      </c>
      <c r="D55" s="26">
        <f>B55*2.54</f>
        <v>25.4</v>
      </c>
      <c r="E55" s="27">
        <f>PI() * (C55/2)^2 * D55 /1000</f>
        <v>0.54988514118809451</v>
      </c>
      <c r="F55" s="26">
        <v>1</v>
      </c>
      <c r="G55" s="28">
        <f>E55*F$4</f>
        <v>0.34642763894849954</v>
      </c>
      <c r="H55" s="28">
        <f>F55*G55</f>
        <v>0.34642763894849954</v>
      </c>
      <c r="I55" s="28">
        <f>H55*2.2</f>
        <v>0.76214080568669906</v>
      </c>
      <c r="J55" t="s">
        <v>851</v>
      </c>
    </row>
    <row r="56" spans="1:16" x14ac:dyDescent="0.2">
      <c r="A56" s="26">
        <v>2.0670000000000002</v>
      </c>
      <c r="B56" s="26">
        <v>6</v>
      </c>
      <c r="C56" s="28">
        <f>A56*2.54</f>
        <v>5.2501800000000003</v>
      </c>
      <c r="D56" s="26">
        <f>B56*2.54</f>
        <v>15.24</v>
      </c>
      <c r="E56" s="27">
        <f>PI() * (C56/2)^2 * D56 /1000</f>
        <v>0.3299310847128567</v>
      </c>
      <c r="F56" s="26">
        <v>1</v>
      </c>
      <c r="G56" s="28">
        <f>E56*F$4</f>
        <v>0.20785658336909973</v>
      </c>
      <c r="H56" s="28">
        <f>F56*G56</f>
        <v>0.20785658336909973</v>
      </c>
      <c r="I56" s="28">
        <f>H56*2.2</f>
        <v>0.45728448341201944</v>
      </c>
      <c r="K56" s="3" t="s">
        <v>377</v>
      </c>
      <c r="L56" s="1">
        <f>L52*2.54</f>
        <v>0.2286</v>
      </c>
      <c r="M56" s="1">
        <f>M52*2.54</f>
        <v>0.2286</v>
      </c>
      <c r="N56" s="1">
        <f>N52*2.54</f>
        <v>0.2286</v>
      </c>
      <c r="O56" s="1">
        <f>O52*2.54</f>
        <v>0.2286</v>
      </c>
      <c r="P56" t="s">
        <v>838</v>
      </c>
    </row>
    <row r="57" spans="1:16" x14ac:dyDescent="0.2">
      <c r="L57" s="1">
        <f>L53*2.54</f>
        <v>2.4510999999999998</v>
      </c>
      <c r="M57" s="1">
        <f>M53*2.54</f>
        <v>2.4510999999999998</v>
      </c>
      <c r="N57" s="1">
        <f>N53*2.54</f>
        <v>2.4510999999999998</v>
      </c>
      <c r="O57" s="1">
        <f>O53*2.54</f>
        <v>2.4510999999999998</v>
      </c>
      <c r="P57" t="s">
        <v>839</v>
      </c>
    </row>
    <row r="58" spans="1:16" x14ac:dyDescent="0.2">
      <c r="L58" s="1">
        <f>L54*2.54</f>
        <v>6.35</v>
      </c>
      <c r="M58" s="1">
        <f>M54*2.54</f>
        <v>6.35</v>
      </c>
      <c r="N58" s="1">
        <f>N54*2.54</f>
        <v>6.35</v>
      </c>
      <c r="O58" s="1">
        <f>O54*2.54</f>
        <v>6.35</v>
      </c>
      <c r="P58" t="s">
        <v>840</v>
      </c>
    </row>
    <row r="60" spans="1:16" x14ac:dyDescent="0.2">
      <c r="K60" t="s">
        <v>842</v>
      </c>
      <c r="L60" s="1">
        <f>L57-L56</f>
        <v>2.2224999999999997</v>
      </c>
      <c r="M60" s="1">
        <f>M57-M56</f>
        <v>2.2224999999999997</v>
      </c>
      <c r="N60" s="1">
        <f>N57-N56</f>
        <v>2.2224999999999997</v>
      </c>
      <c r="O60" s="1">
        <f>O57-O56</f>
        <v>2.2224999999999997</v>
      </c>
      <c r="P60" t="s">
        <v>377</v>
      </c>
    </row>
    <row r="61" spans="1:16" x14ac:dyDescent="0.2">
      <c r="K61" t="s">
        <v>383</v>
      </c>
      <c r="L61" s="1">
        <f>PI() * (L58/2) ^2</f>
        <v>31.669217443593606</v>
      </c>
      <c r="M61" s="1">
        <f>PI() * (M58/2) ^2</f>
        <v>31.669217443593606</v>
      </c>
      <c r="N61" s="1">
        <f>PI() * (N58/2) ^2</f>
        <v>31.669217443593606</v>
      </c>
      <c r="O61" s="1">
        <f>PI() * (O58/2) ^2</f>
        <v>31.669217443593606</v>
      </c>
      <c r="P61" t="s">
        <v>378</v>
      </c>
    </row>
    <row r="62" spans="1:16" x14ac:dyDescent="0.2">
      <c r="K62" t="s">
        <v>843</v>
      </c>
      <c r="L62" s="1">
        <f>L60*L61</f>
        <v>70.384835768386779</v>
      </c>
      <c r="M62" s="1">
        <f>M60*M61</f>
        <v>70.384835768386779</v>
      </c>
      <c r="N62" s="1">
        <f>N60*N61</f>
        <v>70.384835768386779</v>
      </c>
      <c r="O62" s="1">
        <f>O60*O61</f>
        <v>70.384835768386779</v>
      </c>
      <c r="P62" t="s">
        <v>844</v>
      </c>
    </row>
    <row r="64" spans="1:16" x14ac:dyDescent="0.2">
      <c r="K64" t="s">
        <v>845</v>
      </c>
      <c r="L64">
        <v>2</v>
      </c>
      <c r="M64">
        <v>2</v>
      </c>
      <c r="N64">
        <v>2</v>
      </c>
      <c r="O64">
        <v>4</v>
      </c>
    </row>
    <row r="66" spans="11:16" x14ac:dyDescent="0.2">
      <c r="K66" t="s">
        <v>846</v>
      </c>
      <c r="L66">
        <v>1400</v>
      </c>
      <c r="M66">
        <v>1680</v>
      </c>
      <c r="N66">
        <v>2000</v>
      </c>
      <c r="O66">
        <v>1100</v>
      </c>
      <c r="P66" t="s">
        <v>848</v>
      </c>
    </row>
    <row r="68" spans="11:16" x14ac:dyDescent="0.2">
      <c r="K68" t="s">
        <v>853</v>
      </c>
      <c r="L68" s="1">
        <f>L66*L64*L62/1000</f>
        <v>197.07754015148296</v>
      </c>
      <c r="M68" s="1">
        <f>M66*M64*M62/1000</f>
        <v>236.49304818177956</v>
      </c>
      <c r="N68" s="1">
        <f>N66*N64*N62/1000</f>
        <v>281.53934307354712</v>
      </c>
      <c r="O68" s="1">
        <f>O66*O64*O62/1000</f>
        <v>309.69327738090186</v>
      </c>
      <c r="P68" t="s">
        <v>236</v>
      </c>
    </row>
    <row r="70" spans="11:16" x14ac:dyDescent="0.2">
      <c r="K70" t="s">
        <v>852</v>
      </c>
      <c r="L70" s="1">
        <f>L57/L56</f>
        <v>10.722222222222221</v>
      </c>
      <c r="M70" s="1">
        <f>M57/M56</f>
        <v>10.722222222222221</v>
      </c>
      <c r="N70" s="1">
        <f>N57/N56</f>
        <v>10.722222222222221</v>
      </c>
      <c r="O70" s="1">
        <f>O57/O56</f>
        <v>10.722222222222221</v>
      </c>
    </row>
  </sheetData>
  <hyperlinks>
    <hyperlink ref="I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4"/>
  <sheetViews>
    <sheetView topLeftCell="B3" workbookViewId="0">
      <selection activeCell="R23" sqref="R23"/>
    </sheetView>
  </sheetViews>
  <sheetFormatPr baseColWidth="10" defaultRowHeight="16" x14ac:dyDescent="0.2"/>
  <cols>
    <col min="2" max="2" width="10.83203125" style="3"/>
    <col min="3" max="3" width="12.6640625" style="3" customWidth="1"/>
    <col min="4" max="5" width="11.6640625" style="3" customWidth="1"/>
  </cols>
  <sheetData>
    <row r="2" spans="1:19" x14ac:dyDescent="0.2">
      <c r="B2" s="4" t="s">
        <v>23</v>
      </c>
    </row>
    <row r="3" spans="1:19" s="7" customFormat="1" ht="51" x14ac:dyDescent="0.2">
      <c r="B3" s="6" t="s">
        <v>9</v>
      </c>
      <c r="C3" s="6" t="s">
        <v>28</v>
      </c>
      <c r="D3" s="6" t="s">
        <v>29</v>
      </c>
      <c r="E3" s="6" t="s">
        <v>29</v>
      </c>
      <c r="F3" s="6" t="s">
        <v>31</v>
      </c>
      <c r="G3" s="7" t="s">
        <v>24</v>
      </c>
      <c r="H3" s="7" t="s">
        <v>27</v>
      </c>
      <c r="I3" s="7" t="s">
        <v>293</v>
      </c>
      <c r="K3" s="6" t="s">
        <v>25</v>
      </c>
      <c r="L3" s="7" t="s">
        <v>30</v>
      </c>
      <c r="M3" s="6" t="s">
        <v>26</v>
      </c>
      <c r="O3" s="7" t="s">
        <v>833</v>
      </c>
      <c r="P3" s="7" t="s">
        <v>834</v>
      </c>
      <c r="Q3" s="7" t="s">
        <v>835</v>
      </c>
      <c r="R3" s="7" t="s">
        <v>14</v>
      </c>
    </row>
    <row r="4" spans="1:19" x14ac:dyDescent="0.2">
      <c r="B4" s="3" t="s">
        <v>14</v>
      </c>
      <c r="C4" s="3">
        <v>0.6</v>
      </c>
      <c r="D4" s="3">
        <v>0.6</v>
      </c>
      <c r="E4" s="3">
        <v>0.6</v>
      </c>
      <c r="F4" s="3">
        <v>0.23</v>
      </c>
      <c r="G4" s="3">
        <v>0.1</v>
      </c>
      <c r="H4" s="3">
        <v>0.2</v>
      </c>
      <c r="I4" s="3">
        <v>0.6</v>
      </c>
      <c r="K4" s="3">
        <v>0.18</v>
      </c>
      <c r="L4" s="3">
        <v>0.25</v>
      </c>
      <c r="M4" s="3">
        <v>0.1</v>
      </c>
      <c r="O4" s="3">
        <v>0.89</v>
      </c>
      <c r="P4" s="3">
        <v>0.89</v>
      </c>
      <c r="Q4" s="3">
        <v>0.89</v>
      </c>
      <c r="R4" s="3">
        <v>0.89</v>
      </c>
      <c r="S4" s="3">
        <v>0.25</v>
      </c>
    </row>
    <row r="5" spans="1:19" x14ac:dyDescent="0.2">
      <c r="A5" s="3" t="s">
        <v>22</v>
      </c>
      <c r="B5" s="3" t="s">
        <v>10</v>
      </c>
      <c r="C5" s="3">
        <v>1</v>
      </c>
      <c r="D5" s="3">
        <v>1</v>
      </c>
      <c r="E5" s="3">
        <v>1</v>
      </c>
      <c r="F5" s="3">
        <v>1.1000000000000001</v>
      </c>
      <c r="G5" s="3">
        <v>1.1000000000000001</v>
      </c>
      <c r="H5" s="3">
        <v>1.1000000000000001</v>
      </c>
      <c r="I5" s="3">
        <v>1.1000000000000001</v>
      </c>
      <c r="K5" s="3">
        <v>1</v>
      </c>
      <c r="L5" s="3">
        <v>1</v>
      </c>
      <c r="M5" s="3">
        <v>1</v>
      </c>
      <c r="O5" s="3">
        <v>1</v>
      </c>
      <c r="P5" s="3">
        <v>1</v>
      </c>
      <c r="Q5" s="3">
        <v>1</v>
      </c>
      <c r="R5" s="3">
        <v>1.68</v>
      </c>
      <c r="S5" s="3">
        <v>0.375</v>
      </c>
    </row>
    <row r="6" spans="1:19" x14ac:dyDescent="0.2">
      <c r="A6" s="3" t="s">
        <v>21</v>
      </c>
      <c r="B6" s="3" t="s">
        <v>11</v>
      </c>
      <c r="C6" s="3">
        <v>70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K6" s="3">
        <v>70</v>
      </c>
      <c r="L6" s="3">
        <v>70</v>
      </c>
      <c r="M6" s="3">
        <v>70</v>
      </c>
      <c r="O6" s="3">
        <v>70</v>
      </c>
      <c r="P6" s="3">
        <v>70</v>
      </c>
      <c r="Q6" s="3">
        <v>70</v>
      </c>
      <c r="R6" s="3">
        <v>2.79</v>
      </c>
      <c r="S6" s="3">
        <v>0.5</v>
      </c>
    </row>
    <row r="7" spans="1:19" x14ac:dyDescent="0.2">
      <c r="A7" s="3" t="s">
        <v>18</v>
      </c>
      <c r="B7" s="3" t="s">
        <v>12</v>
      </c>
      <c r="C7" s="3">
        <v>25</v>
      </c>
      <c r="D7" s="3">
        <v>25</v>
      </c>
      <c r="E7" s="3">
        <v>1</v>
      </c>
      <c r="F7" s="3">
        <v>28</v>
      </c>
      <c r="G7" s="3">
        <v>10</v>
      </c>
      <c r="H7" s="3">
        <v>28</v>
      </c>
      <c r="I7" s="3">
        <v>20</v>
      </c>
      <c r="K7" s="3">
        <v>35</v>
      </c>
      <c r="L7" s="3">
        <v>25</v>
      </c>
      <c r="M7" s="3">
        <v>100</v>
      </c>
      <c r="O7" s="3">
        <v>20</v>
      </c>
      <c r="P7" s="3">
        <v>19</v>
      </c>
      <c r="Q7" s="3">
        <v>15</v>
      </c>
    </row>
    <row r="8" spans="1:19" x14ac:dyDescent="0.2">
      <c r="A8" s="3" t="s">
        <v>18</v>
      </c>
      <c r="B8" s="3" t="s">
        <v>13</v>
      </c>
      <c r="C8" s="3">
        <v>23</v>
      </c>
      <c r="D8" s="3">
        <v>2</v>
      </c>
      <c r="E8" s="3">
        <v>0</v>
      </c>
      <c r="F8" s="3">
        <v>27.7</v>
      </c>
      <c r="G8" s="3">
        <v>7</v>
      </c>
      <c r="H8" s="3">
        <v>27</v>
      </c>
      <c r="I8" s="3">
        <v>5</v>
      </c>
      <c r="K8" s="3">
        <v>0</v>
      </c>
      <c r="L8" s="3">
        <v>0</v>
      </c>
      <c r="M8" s="3">
        <v>28</v>
      </c>
      <c r="O8" s="3">
        <v>19</v>
      </c>
      <c r="P8" s="3">
        <v>2</v>
      </c>
      <c r="Q8" s="3">
        <v>13.5</v>
      </c>
    </row>
    <row r="9" spans="1:19" x14ac:dyDescent="0.2">
      <c r="A9" s="3"/>
      <c r="F9" s="3"/>
      <c r="G9" s="3"/>
      <c r="H9" s="3"/>
      <c r="I9" s="3"/>
      <c r="K9" s="3"/>
      <c r="L9" s="3"/>
      <c r="M9" s="3"/>
      <c r="O9" s="3"/>
      <c r="P9" s="3"/>
      <c r="Q9" s="3"/>
    </row>
    <row r="10" spans="1:19" x14ac:dyDescent="0.2">
      <c r="A10" s="3" t="s">
        <v>15</v>
      </c>
      <c r="B10" s="3" t="s">
        <v>20</v>
      </c>
      <c r="C10" s="5">
        <f t="shared" ref="C10" si="0">962*C4*SQRT(((C7+14.7)^2-(C8+14.7)^2)/(C5*(C6+460)))</f>
        <v>311.94200970511793</v>
      </c>
      <c r="D10" s="5">
        <f>962*D4*SQRT(((D7+14.7)^2-(D8+14.7)^2)/(D5*(D6+460)))</f>
        <v>903.00854009626744</v>
      </c>
      <c r="E10" s="5">
        <f>962*E4*SQRT(((E7+14.7)^2-(E8+14.7)^2)/(E5*(E6+460)))</f>
        <v>138.23727984745159</v>
      </c>
      <c r="F10" s="5">
        <f>962*F4*SQRT(((F7+14.7)^2-(F8+14.7)^2)/(F5*(F6+460)))</f>
        <v>46.301390963920753</v>
      </c>
      <c r="G10" s="5">
        <f>962*G4*SQRT(((G7+14.7)^2-(G8+14.7)^2)/(G5*(G6+460)))</f>
        <v>47.0067702141843</v>
      </c>
      <c r="H10" s="5">
        <f t="shared" ref="H10:I10" si="1">962*H4*SQRT(((H7+14.7)^2-(H8+14.7)^2)/(H5*(H6+460)))</f>
        <v>73.205213847627235</v>
      </c>
      <c r="I10" s="5">
        <f t="shared" si="1"/>
        <v>682.86857041431574</v>
      </c>
      <c r="K10" s="5">
        <f>962*K4*SQRT(((K7+14.7)^2-(K8+14.7)^2)/(K5*(K6+460)))</f>
        <v>357.0973260452663</v>
      </c>
      <c r="L10" s="5">
        <f>962*L4*SQRT(((L7+14.7)^2-(L8+14.7)^2)/(L5*(L6+460)))</f>
        <v>385.25350634477479</v>
      </c>
      <c r="M10" s="5">
        <f t="shared" ref="M10:O10" si="2">962*M4*SQRT(((M7+14.7)^2-(M8+14.7)^2)/(M5*(M6+460)))</f>
        <v>444.84196394963237</v>
      </c>
      <c r="O10" s="5">
        <f t="shared" si="2"/>
        <v>307.57794766057953</v>
      </c>
      <c r="P10" s="5">
        <f t="shared" ref="P10:Q10" si="3">962*P4*SQRT(((P7+14.7)^2-(P8+14.7)^2)/(P5*(P6+460)))</f>
        <v>1088.596347430185</v>
      </c>
      <c r="Q10" s="5">
        <f t="shared" si="3"/>
        <v>346.58682951911646</v>
      </c>
    </row>
    <row r="11" spans="1:19" x14ac:dyDescent="0.2">
      <c r="A11" s="3" t="s">
        <v>15</v>
      </c>
      <c r="B11" s="3" t="s">
        <v>16</v>
      </c>
      <c r="C11" s="5">
        <f t="shared" ref="C11" si="4">C4*(816*(C7+14.7)/SQRT(C5*(C6+460)))</f>
        <v>844.29454072549117</v>
      </c>
      <c r="D11" s="5">
        <f>D4*(816*(D7+14.7)/SQRT(D5*(D6+460)))</f>
        <v>844.29454072549117</v>
      </c>
      <c r="E11" s="5">
        <f>E4*(816*(E7+14.7)/SQRT(E5*(E6+460)))</f>
        <v>333.88978058917405</v>
      </c>
      <c r="F11" s="5">
        <f>F4*(816*(F7+14.7)/SQRT(F5*(F6+460)))</f>
        <v>331.90331677245371</v>
      </c>
      <c r="G11" s="5">
        <f>G4*(816*(G7+14.7)/SQRT(G5*(G6+460)))</f>
        <v>83.474309380710793</v>
      </c>
      <c r="H11" s="5">
        <f t="shared" ref="H11:I11" si="5">H4*(816*(H7+14.7)/SQRT(H5*(H6+460)))</f>
        <v>288.61157980213369</v>
      </c>
      <c r="I11" s="5">
        <f t="shared" si="5"/>
        <v>703.61745801878476</v>
      </c>
      <c r="K11" s="5">
        <f>K4*(816*(K7+14.7)/SQRT(K5*(K6+460)))</f>
        <v>317.08895723468697</v>
      </c>
      <c r="L11" s="5">
        <f>L4*(816*(L7+14.7)/SQRT(L5*(L6+460)))</f>
        <v>351.78939196895465</v>
      </c>
      <c r="M11" s="5">
        <f t="shared" ref="M11:O11" si="6">M4*(816*(M7+14.7)/SQRT(M5*(M6+460)))</f>
        <v>406.55156935858031</v>
      </c>
      <c r="O11" s="5">
        <f t="shared" si="6"/>
        <v>1094.6409866173528</v>
      </c>
      <c r="P11" s="5">
        <f t="shared" ref="P11:Q11" si="7">P4*(816*(P7+14.7)/SQRT(P5*(P6+460)))</f>
        <v>1063.0951368589276</v>
      </c>
      <c r="Q11" s="5">
        <f t="shared" si="7"/>
        <v>936.91173782522708</v>
      </c>
    </row>
    <row r="12" spans="1:19" x14ac:dyDescent="0.2">
      <c r="A12" s="3"/>
      <c r="F12" s="3"/>
      <c r="G12" s="3"/>
      <c r="H12" s="3"/>
      <c r="I12" s="3"/>
      <c r="K12" s="3"/>
      <c r="L12" s="3"/>
      <c r="M12" s="3"/>
      <c r="O12" s="3"/>
      <c r="P12" s="3"/>
      <c r="Q12" s="3"/>
    </row>
    <row r="13" spans="1:19" x14ac:dyDescent="0.2">
      <c r="A13" s="3" t="s">
        <v>17</v>
      </c>
      <c r="B13" s="3" t="s">
        <v>19</v>
      </c>
      <c r="C13" s="5">
        <f t="shared" ref="C13" si="8">MIN(C10*28.3168/60, C11*28.3168/60)</f>
        <v>147.2199916736314</v>
      </c>
      <c r="D13" s="5">
        <f>MIN(D10*28.3168/60, D11*28.3168/60)</f>
        <v>398.46199418025986</v>
      </c>
      <c r="E13" s="5">
        <f>MIN(E10*28.3168/60, E11*28.3168/60)</f>
        <v>65.240623433071946</v>
      </c>
      <c r="F13" s="5">
        <f>MIN(F10*28.3168/60, F11*28.3168/60)</f>
        <v>21.851787127452518</v>
      </c>
      <c r="G13" s="5">
        <f>MIN(G10*28.3168/60, G11*28.3168/60)</f>
        <v>22.184688513350235</v>
      </c>
      <c r="H13" s="5">
        <f t="shared" ref="H13:I13" si="9">MIN(H10*28.3168/60, H11*28.3168/60)</f>
        <v>34.54895665800818</v>
      </c>
      <c r="I13" s="5">
        <f t="shared" si="9"/>
        <v>322.27754557846828</v>
      </c>
      <c r="K13" s="5">
        <f>MIN(K10*28.3168/60, K11*28.3168/60)</f>
        <v>149.64907640371973</v>
      </c>
      <c r="L13" s="5">
        <f>MIN(L10*28.3168/60, L11*28.3168/60)</f>
        <v>166.02583090844158</v>
      </c>
      <c r="M13" s="5">
        <f t="shared" ref="M13:O13" si="10">MIN(M10*28.3168/60, M11*28.3168/60)</f>
        <v>191.87065798688411</v>
      </c>
      <c r="O13" s="5">
        <f t="shared" si="10"/>
        <v>145.16038713858498</v>
      </c>
      <c r="P13" s="5">
        <f t="shared" ref="P13:Q13" si="11">MIN(P10*28.3168/60, P11*28.3168/60)</f>
        <v>501.72420619011467</v>
      </c>
      <c r="Q13" s="5">
        <f t="shared" si="11"/>
        <v>163.57049890211528</v>
      </c>
    </row>
    <row r="14" spans="1:19" x14ac:dyDescent="0.2">
      <c r="A14" s="19" t="s">
        <v>294</v>
      </c>
      <c r="B14" s="3" t="s">
        <v>19</v>
      </c>
      <c r="C14" s="5">
        <f>MIN(C10/60, C11/60)</f>
        <v>5.199033495085299</v>
      </c>
      <c r="D14" s="5">
        <f>MIN(D10/60, D11/60)</f>
        <v>14.071575678758187</v>
      </c>
      <c r="E14" s="5">
        <f t="shared" ref="E14:M14" si="12">MIN(E10/60, E11/60)</f>
        <v>2.303954664124193</v>
      </c>
      <c r="F14" s="5">
        <f t="shared" si="12"/>
        <v>0.77168984939867924</v>
      </c>
      <c r="G14" s="5">
        <f t="shared" si="12"/>
        <v>0.78344617023640495</v>
      </c>
      <c r="H14" s="5">
        <f t="shared" si="12"/>
        <v>1.220086897460454</v>
      </c>
      <c r="I14" s="5">
        <f t="shared" si="12"/>
        <v>11.381142840238596</v>
      </c>
      <c r="K14" s="5">
        <f t="shared" si="12"/>
        <v>5.2848159539114494</v>
      </c>
      <c r="L14" s="5">
        <f t="shared" si="12"/>
        <v>5.8631565328159105</v>
      </c>
      <c r="M14" s="5">
        <f t="shared" si="12"/>
        <v>6.7758594893096715</v>
      </c>
      <c r="O14" s="5">
        <f t="shared" ref="O14:Q14" si="13">MIN(O10/60, O11/60)</f>
        <v>5.126299127676325</v>
      </c>
      <c r="P14" s="5">
        <f t="shared" si="13"/>
        <v>17.718252280982128</v>
      </c>
      <c r="Q14" s="5">
        <f t="shared" si="13"/>
        <v>5.7764471586519415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 x14ac:dyDescent="0.2"/>
  <sheetData>
    <row r="6" spans="2:3" x14ac:dyDescent="0.2">
      <c r="B6" t="s">
        <v>351</v>
      </c>
    </row>
    <row r="7" spans="2:3" x14ac:dyDescent="0.2">
      <c r="B7" t="s">
        <v>350</v>
      </c>
    </row>
    <row r="8" spans="2:3" x14ac:dyDescent="0.2">
      <c r="B8" t="s">
        <v>352</v>
      </c>
    </row>
    <row r="9" spans="2:3" x14ac:dyDescent="0.2">
      <c r="B9" t="s">
        <v>353</v>
      </c>
    </row>
    <row r="11" spans="2:3" x14ac:dyDescent="0.2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2"/>
  <sheetViews>
    <sheetView workbookViewId="0">
      <selection activeCell="C24" sqref="C24"/>
    </sheetView>
  </sheetViews>
  <sheetFormatPr baseColWidth="10" defaultRowHeight="16" x14ac:dyDescent="0.2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12" customWidth="1"/>
  </cols>
  <sheetData>
    <row r="2" spans="2:9" ht="17" x14ac:dyDescent="0.2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 x14ac:dyDescent="0.2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 x14ac:dyDescent="0.2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 x14ac:dyDescent="0.2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 x14ac:dyDescent="0.2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 x14ac:dyDescent="0.2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 x14ac:dyDescent="0.2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 x14ac:dyDescent="0.2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 x14ac:dyDescent="0.2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 x14ac:dyDescent="0.2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 x14ac:dyDescent="0.2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 x14ac:dyDescent="0.2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 x14ac:dyDescent="0.2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 x14ac:dyDescent="0.2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8" ht="34" x14ac:dyDescent="0.2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8" ht="51" x14ac:dyDescent="0.2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8" ht="51" x14ac:dyDescent="0.2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8" ht="51" x14ac:dyDescent="0.2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8" ht="34" x14ac:dyDescent="0.2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8" ht="34" x14ac:dyDescent="0.2">
      <c r="B22" s="17">
        <v>2021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 x14ac:dyDescent="0.2"/>
  <cols>
    <col min="2" max="2" width="13.83203125" bestFit="1" customWidth="1"/>
  </cols>
  <sheetData>
    <row r="5" spans="2:8" x14ac:dyDescent="0.2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 x14ac:dyDescent="0.2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 x14ac:dyDescent="0.2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 x14ac:dyDescent="0.2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 x14ac:dyDescent="0.2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 x14ac:dyDescent="0.2">
      <c r="E10">
        <v>200</v>
      </c>
      <c r="F10">
        <v>200</v>
      </c>
      <c r="G10">
        <v>200</v>
      </c>
      <c r="H10" t="s">
        <v>17</v>
      </c>
    </row>
    <row r="11" spans="2:8" x14ac:dyDescent="0.2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 x14ac:dyDescent="0.2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 x14ac:dyDescent="0.2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 x14ac:dyDescent="0.2">
      <c r="B19" s="1">
        <f>D19</f>
        <v>29.921259842519685</v>
      </c>
      <c r="C19" t="s">
        <v>311</v>
      </c>
      <c r="D19" s="20">
        <f>B22/25.4</f>
        <v>29.921259842519685</v>
      </c>
    </row>
    <row r="20" spans="2:6" x14ac:dyDescent="0.2">
      <c r="B20">
        <v>29.67</v>
      </c>
      <c r="C20" t="s">
        <v>309</v>
      </c>
    </row>
    <row r="22" spans="2:6" x14ac:dyDescent="0.2">
      <c r="B22">
        <v>760</v>
      </c>
      <c r="C22" t="s">
        <v>310</v>
      </c>
      <c r="E22" t="s">
        <v>333</v>
      </c>
    </row>
    <row r="23" spans="2:6" x14ac:dyDescent="0.2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 x14ac:dyDescent="0.2">
      <c r="B25">
        <v>1000</v>
      </c>
      <c r="C25" t="s">
        <v>313</v>
      </c>
    </row>
    <row r="26" spans="2:6" x14ac:dyDescent="0.2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 x14ac:dyDescent="0.2">
      <c r="C30">
        <v>14.7</v>
      </c>
      <c r="D30" t="s">
        <v>329</v>
      </c>
    </row>
    <row r="31" spans="2:6" x14ac:dyDescent="0.2">
      <c r="C31">
        <v>0.12</v>
      </c>
      <c r="D31" t="s">
        <v>330</v>
      </c>
    </row>
    <row r="32" spans="2:6" x14ac:dyDescent="0.2">
      <c r="C32" s="1">
        <f>C31/C30*1000</f>
        <v>8.1632653061224492</v>
      </c>
      <c r="D32" t="s">
        <v>331</v>
      </c>
    </row>
    <row r="33" spans="3:4" x14ac:dyDescent="0.2">
      <c r="C33" s="1">
        <f>C32*B22/1000</f>
        <v>6.204081632653061</v>
      </c>
      <c r="D33" t="s">
        <v>328</v>
      </c>
    </row>
    <row r="36" spans="3:4" x14ac:dyDescent="0.2">
      <c r="C36">
        <v>41</v>
      </c>
      <c r="D36" t="s">
        <v>332</v>
      </c>
    </row>
    <row r="37" spans="3:4" x14ac:dyDescent="0.2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 x14ac:dyDescent="0.2"/>
  <sheetData>
    <row r="1" spans="1:13" x14ac:dyDescent="0.2">
      <c r="A1" t="s">
        <v>303</v>
      </c>
    </row>
    <row r="6" spans="1:13" x14ac:dyDescent="0.2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 x14ac:dyDescent="0.2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 x14ac:dyDescent="0.2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 x14ac:dyDescent="0.2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 x14ac:dyDescent="0.2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 x14ac:dyDescent="0.2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 x14ac:dyDescent="0.2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 x14ac:dyDescent="0.2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 x14ac:dyDescent="0.2"/>
  <cols>
    <col min="2" max="2" width="14.33203125" customWidth="1"/>
  </cols>
  <sheetData>
    <row r="5" spans="2:9" x14ac:dyDescent="0.2">
      <c r="C5" t="s">
        <v>302</v>
      </c>
    </row>
    <row r="6" spans="2:9" x14ac:dyDescent="0.2">
      <c r="B6">
        <v>0.02</v>
      </c>
      <c r="C6" t="s">
        <v>33</v>
      </c>
      <c r="E6">
        <v>3.5</v>
      </c>
    </row>
    <row r="7" spans="2:9" x14ac:dyDescent="0.2">
      <c r="B7">
        <v>189</v>
      </c>
      <c r="C7" t="s">
        <v>32</v>
      </c>
      <c r="E7">
        <v>25.4</v>
      </c>
    </row>
    <row r="8" spans="2:9" x14ac:dyDescent="0.2">
      <c r="B8">
        <f>B6*B7</f>
        <v>3.7800000000000002</v>
      </c>
      <c r="C8" t="s">
        <v>34</v>
      </c>
      <c r="E8">
        <f>E7*E6</f>
        <v>88.899999999999991</v>
      </c>
    </row>
    <row r="12" spans="2:9" x14ac:dyDescent="0.2">
      <c r="B12" s="3" t="s">
        <v>301</v>
      </c>
    </row>
    <row r="13" spans="2:9" x14ac:dyDescent="0.2">
      <c r="B13" s="3">
        <v>11</v>
      </c>
      <c r="H13" t="s">
        <v>341</v>
      </c>
    </row>
    <row r="14" spans="2:9" x14ac:dyDescent="0.2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 x14ac:dyDescent="0.2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 x14ac:dyDescent="0.2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 x14ac:dyDescent="0.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 x14ac:dyDescent="0.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 x14ac:dyDescent="0.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 x14ac:dyDescent="0.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 x14ac:dyDescent="0.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 x14ac:dyDescent="0.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 x14ac:dyDescent="0.2">
      <c r="L24" s="23" t="s">
        <v>342</v>
      </c>
    </row>
    <row r="25" spans="2:12" x14ac:dyDescent="0.2">
      <c r="L25">
        <v>64</v>
      </c>
    </row>
    <row r="27" spans="2:12" x14ac:dyDescent="0.2">
      <c r="K27" s="23" t="s">
        <v>345</v>
      </c>
      <c r="L27" s="23" t="s">
        <v>344</v>
      </c>
    </row>
    <row r="28" spans="2:12" x14ac:dyDescent="0.2">
      <c r="K28">
        <v>1</v>
      </c>
      <c r="L28">
        <f>L$25^K28</f>
        <v>64</v>
      </c>
    </row>
    <row r="29" spans="2:12" x14ac:dyDescent="0.2">
      <c r="K29">
        <v>2</v>
      </c>
      <c r="L29">
        <f t="shared" ref="L29:L35" si="2">L$25^K29</f>
        <v>4096</v>
      </c>
    </row>
    <row r="30" spans="2:12" x14ac:dyDescent="0.2">
      <c r="K30">
        <v>3</v>
      </c>
      <c r="L30">
        <f t="shared" si="2"/>
        <v>262144</v>
      </c>
    </row>
    <row r="31" spans="2:12" x14ac:dyDescent="0.2">
      <c r="K31">
        <v>4</v>
      </c>
      <c r="L31">
        <f t="shared" si="2"/>
        <v>16777216</v>
      </c>
    </row>
    <row r="32" spans="2:12" x14ac:dyDescent="0.2">
      <c r="K32">
        <v>5</v>
      </c>
      <c r="L32">
        <f t="shared" si="2"/>
        <v>1073741824</v>
      </c>
    </row>
    <row r="33" spans="11:12" x14ac:dyDescent="0.2">
      <c r="K33">
        <v>6</v>
      </c>
      <c r="L33">
        <f t="shared" si="2"/>
        <v>68719476736</v>
      </c>
    </row>
    <row r="34" spans="11:12" x14ac:dyDescent="0.2">
      <c r="K34">
        <v>7</v>
      </c>
      <c r="L34">
        <f t="shared" si="2"/>
        <v>4398046511104</v>
      </c>
    </row>
    <row r="35" spans="11:12" x14ac:dyDescent="0.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F10" sqref="F10"/>
    </sheetView>
  </sheetViews>
  <sheetFormatPr baseColWidth="10" defaultRowHeight="16" x14ac:dyDescent="0.2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 x14ac:dyDescent="0.2">
      <c r="C1" t="s">
        <v>365</v>
      </c>
      <c r="D1" t="s">
        <v>695</v>
      </c>
      <c r="E1" t="s">
        <v>371</v>
      </c>
      <c r="F1" t="s">
        <v>694</v>
      </c>
      <c r="G1" t="s">
        <v>696</v>
      </c>
    </row>
    <row r="3" spans="1:7" x14ac:dyDescent="0.2">
      <c r="A3" t="s">
        <v>69</v>
      </c>
      <c r="C3" t="s">
        <v>366</v>
      </c>
      <c r="D3" t="s">
        <v>370</v>
      </c>
    </row>
    <row r="4" spans="1:7" x14ac:dyDescent="0.2">
      <c r="C4" t="s">
        <v>35</v>
      </c>
      <c r="D4" t="s">
        <v>770</v>
      </c>
      <c r="F4" t="s">
        <v>771</v>
      </c>
    </row>
    <row r="5" spans="1:7" x14ac:dyDescent="0.2">
      <c r="B5">
        <v>4</v>
      </c>
      <c r="C5" t="s">
        <v>369</v>
      </c>
      <c r="F5" t="s">
        <v>772</v>
      </c>
    </row>
    <row r="6" spans="1:7" x14ac:dyDescent="0.2">
      <c r="B6">
        <v>4</v>
      </c>
      <c r="C6" t="s">
        <v>367</v>
      </c>
      <c r="F6" t="s">
        <v>773</v>
      </c>
    </row>
    <row r="7" spans="1:7" x14ac:dyDescent="0.2">
      <c r="B7">
        <v>2</v>
      </c>
      <c r="C7" t="s">
        <v>368</v>
      </c>
      <c r="F7" t="s">
        <v>774</v>
      </c>
    </row>
    <row r="8" spans="1:7" x14ac:dyDescent="0.2">
      <c r="B8">
        <v>4</v>
      </c>
      <c r="C8" t="s">
        <v>80</v>
      </c>
    </row>
    <row r="9" spans="1:7" x14ac:dyDescent="0.2">
      <c r="B9">
        <v>4</v>
      </c>
      <c r="C9" t="s">
        <v>79</v>
      </c>
    </row>
    <row r="10" spans="1:7" x14ac:dyDescent="0.2">
      <c r="B10">
        <v>16</v>
      </c>
      <c r="C10" t="s">
        <v>90</v>
      </c>
    </row>
    <row r="11" spans="1:7" x14ac:dyDescent="0.2">
      <c r="B11">
        <v>32</v>
      </c>
      <c r="C11" t="s">
        <v>91</v>
      </c>
    </row>
    <row r="13" spans="1:7" x14ac:dyDescent="0.2">
      <c r="A13" t="s">
        <v>36</v>
      </c>
      <c r="C13" t="s">
        <v>36</v>
      </c>
    </row>
    <row r="14" spans="1:7" x14ac:dyDescent="0.2">
      <c r="C14" t="s">
        <v>37</v>
      </c>
      <c r="D14" t="s">
        <v>363</v>
      </c>
      <c r="G14" t="s">
        <v>364</v>
      </c>
    </row>
    <row r="15" spans="1:7" x14ac:dyDescent="0.2">
      <c r="C15" t="s">
        <v>38</v>
      </c>
    </row>
    <row r="16" spans="1:7" x14ac:dyDescent="0.2">
      <c r="C16" t="s">
        <v>39</v>
      </c>
    </row>
    <row r="17" spans="1:3" x14ac:dyDescent="0.2">
      <c r="C17" t="s">
        <v>40</v>
      </c>
    </row>
    <row r="18" spans="1:3" x14ac:dyDescent="0.2">
      <c r="C18" t="s">
        <v>41</v>
      </c>
    </row>
    <row r="19" spans="1:3" x14ac:dyDescent="0.2">
      <c r="C19" t="s">
        <v>42</v>
      </c>
    </row>
    <row r="20" spans="1:3" x14ac:dyDescent="0.2">
      <c r="C20" t="s">
        <v>39</v>
      </c>
    </row>
    <row r="21" spans="1:3" x14ac:dyDescent="0.2">
      <c r="B21">
        <v>4</v>
      </c>
      <c r="C21" t="s">
        <v>65</v>
      </c>
    </row>
    <row r="22" spans="1:3" x14ac:dyDescent="0.2">
      <c r="C22" t="s">
        <v>72</v>
      </c>
    </row>
    <row r="23" spans="1:3" x14ac:dyDescent="0.2">
      <c r="B23">
        <v>2</v>
      </c>
      <c r="C23" t="s">
        <v>73</v>
      </c>
    </row>
    <row r="24" spans="1:3" x14ac:dyDescent="0.2">
      <c r="B24">
        <v>4</v>
      </c>
      <c r="C24" t="s">
        <v>88</v>
      </c>
    </row>
    <row r="25" spans="1:3" x14ac:dyDescent="0.2">
      <c r="B25">
        <v>4</v>
      </c>
      <c r="C25" t="s">
        <v>89</v>
      </c>
    </row>
    <row r="27" spans="1:3" x14ac:dyDescent="0.2">
      <c r="A27" t="s">
        <v>66</v>
      </c>
      <c r="C27" t="s">
        <v>43</v>
      </c>
    </row>
    <row r="28" spans="1:3" x14ac:dyDescent="0.2">
      <c r="C28" t="s">
        <v>46</v>
      </c>
    </row>
    <row r="29" spans="1:3" x14ac:dyDescent="0.2">
      <c r="C29" t="s">
        <v>44</v>
      </c>
    </row>
    <row r="30" spans="1:3" x14ac:dyDescent="0.2">
      <c r="C30" t="s">
        <v>47</v>
      </c>
    </row>
    <row r="31" spans="1:3" x14ac:dyDescent="0.2">
      <c r="B31">
        <v>2</v>
      </c>
      <c r="C31" t="s">
        <v>45</v>
      </c>
    </row>
    <row r="32" spans="1:3" x14ac:dyDescent="0.2">
      <c r="C32" t="s">
        <v>48</v>
      </c>
    </row>
    <row r="33" spans="1:3" x14ac:dyDescent="0.2">
      <c r="C33" t="s">
        <v>49</v>
      </c>
    </row>
    <row r="34" spans="1:3" x14ac:dyDescent="0.2">
      <c r="C34" t="s">
        <v>81</v>
      </c>
    </row>
    <row r="35" spans="1:3" x14ac:dyDescent="0.2">
      <c r="B35">
        <v>4</v>
      </c>
      <c r="C35" t="s">
        <v>87</v>
      </c>
    </row>
    <row r="37" spans="1:3" x14ac:dyDescent="0.2">
      <c r="A37" t="s">
        <v>67</v>
      </c>
      <c r="C37" t="s">
        <v>50</v>
      </c>
    </row>
    <row r="38" spans="1:3" x14ac:dyDescent="0.2">
      <c r="C38" t="s">
        <v>51</v>
      </c>
    </row>
    <row r="39" spans="1:3" x14ac:dyDescent="0.2">
      <c r="C39" t="s">
        <v>52</v>
      </c>
    </row>
    <row r="40" spans="1:3" x14ac:dyDescent="0.2">
      <c r="C40" t="s">
        <v>53</v>
      </c>
    </row>
    <row r="41" spans="1:3" x14ac:dyDescent="0.2">
      <c r="C41" t="s">
        <v>54</v>
      </c>
    </row>
    <row r="42" spans="1:3" x14ac:dyDescent="0.2">
      <c r="C42" t="s">
        <v>55</v>
      </c>
    </row>
    <row r="43" spans="1:3" x14ac:dyDescent="0.2">
      <c r="C43" t="s">
        <v>56</v>
      </c>
    </row>
    <row r="44" spans="1:3" x14ac:dyDescent="0.2">
      <c r="C44" t="s">
        <v>57</v>
      </c>
    </row>
    <row r="45" spans="1:3" x14ac:dyDescent="0.2">
      <c r="C45" t="s">
        <v>58</v>
      </c>
    </row>
    <row r="46" spans="1:3" x14ac:dyDescent="0.2">
      <c r="B46">
        <v>6</v>
      </c>
      <c r="C46" t="s">
        <v>86</v>
      </c>
    </row>
    <row r="49" spans="1:3" x14ac:dyDescent="0.2">
      <c r="A49" t="s">
        <v>68</v>
      </c>
      <c r="B49">
        <v>2</v>
      </c>
      <c r="C49" t="s">
        <v>59</v>
      </c>
    </row>
    <row r="50" spans="1:3" x14ac:dyDescent="0.2">
      <c r="C50" t="s">
        <v>60</v>
      </c>
    </row>
    <row r="51" spans="1:3" x14ac:dyDescent="0.2">
      <c r="C51" t="s">
        <v>61</v>
      </c>
    </row>
    <row r="52" spans="1:3" x14ac:dyDescent="0.2">
      <c r="C52" t="s">
        <v>62</v>
      </c>
    </row>
    <row r="53" spans="1:3" x14ac:dyDescent="0.2">
      <c r="C53" t="s">
        <v>63</v>
      </c>
    </row>
    <row r="54" spans="1:3" x14ac:dyDescent="0.2">
      <c r="C54" t="s">
        <v>64</v>
      </c>
    </row>
    <row r="55" spans="1:3" x14ac:dyDescent="0.2">
      <c r="C55" t="s">
        <v>70</v>
      </c>
    </row>
    <row r="56" spans="1:3" x14ac:dyDescent="0.2">
      <c r="B56">
        <v>2</v>
      </c>
      <c r="C56" t="s">
        <v>71</v>
      </c>
    </row>
    <row r="57" spans="1:3" x14ac:dyDescent="0.2">
      <c r="C57" t="s">
        <v>167</v>
      </c>
    </row>
    <row r="58" spans="1:3" x14ac:dyDescent="0.2">
      <c r="C58" t="s">
        <v>168</v>
      </c>
    </row>
    <row r="59" spans="1:3" x14ac:dyDescent="0.2">
      <c r="C59" t="s">
        <v>169</v>
      </c>
    </row>
    <row r="60" spans="1:3" x14ac:dyDescent="0.2">
      <c r="C60" t="s">
        <v>170</v>
      </c>
    </row>
    <row r="61" spans="1:3" x14ac:dyDescent="0.2">
      <c r="C61" t="s">
        <v>171</v>
      </c>
    </row>
    <row r="62" spans="1:3" x14ac:dyDescent="0.2">
      <c r="C62" t="s">
        <v>172</v>
      </c>
    </row>
    <row r="64" spans="1:3" x14ac:dyDescent="0.2">
      <c r="A64" t="s">
        <v>74</v>
      </c>
      <c r="C64" t="s">
        <v>75</v>
      </c>
    </row>
    <row r="65" spans="1:3" x14ac:dyDescent="0.2">
      <c r="C65" t="s">
        <v>76</v>
      </c>
    </row>
    <row r="66" spans="1:3" x14ac:dyDescent="0.2">
      <c r="C66" t="s">
        <v>77</v>
      </c>
    </row>
    <row r="67" spans="1:3" x14ac:dyDescent="0.2">
      <c r="C67" t="s">
        <v>78</v>
      </c>
    </row>
    <row r="68" spans="1:3" x14ac:dyDescent="0.2">
      <c r="C68" t="s">
        <v>82</v>
      </c>
    </row>
    <row r="69" spans="1:3" x14ac:dyDescent="0.2">
      <c r="C69" t="s">
        <v>83</v>
      </c>
    </row>
    <row r="70" spans="1:3" x14ac:dyDescent="0.2">
      <c r="B70">
        <v>4</v>
      </c>
      <c r="C70" t="s">
        <v>84</v>
      </c>
    </row>
    <row r="71" spans="1:3" x14ac:dyDescent="0.2">
      <c r="B71">
        <v>4</v>
      </c>
      <c r="C71" t="s">
        <v>85</v>
      </c>
    </row>
    <row r="72" spans="1:3" x14ac:dyDescent="0.2">
      <c r="C72" t="s">
        <v>173</v>
      </c>
    </row>
    <row r="73" spans="1:3" x14ac:dyDescent="0.2">
      <c r="C73" t="s">
        <v>92</v>
      </c>
    </row>
    <row r="74" spans="1:3" x14ac:dyDescent="0.2">
      <c r="C74" t="s">
        <v>93</v>
      </c>
    </row>
    <row r="75" spans="1:3" x14ac:dyDescent="0.2">
      <c r="C75" t="s">
        <v>95</v>
      </c>
    </row>
    <row r="78" spans="1:3" x14ac:dyDescent="0.2">
      <c r="A78" t="s">
        <v>94</v>
      </c>
      <c r="C78" t="s">
        <v>96</v>
      </c>
    </row>
    <row r="79" spans="1:3" x14ac:dyDescent="0.2">
      <c r="C79" t="s">
        <v>96</v>
      </c>
    </row>
    <row r="80" spans="1:3" x14ac:dyDescent="0.2">
      <c r="C80" t="s">
        <v>97</v>
      </c>
    </row>
    <row r="81" spans="1:3" x14ac:dyDescent="0.2">
      <c r="C81" t="s">
        <v>98</v>
      </c>
    </row>
    <row r="82" spans="1:3" x14ac:dyDescent="0.2">
      <c r="C82" t="s">
        <v>100</v>
      </c>
    </row>
    <row r="83" spans="1:3" x14ac:dyDescent="0.2">
      <c r="C83" t="s">
        <v>99</v>
      </c>
    </row>
    <row r="84" spans="1:3" x14ac:dyDescent="0.2">
      <c r="C84" t="s">
        <v>101</v>
      </c>
    </row>
    <row r="87" spans="1:3" x14ac:dyDescent="0.2">
      <c r="A87" t="s">
        <v>102</v>
      </c>
      <c r="B87">
        <v>4</v>
      </c>
      <c r="C87" t="s">
        <v>103</v>
      </c>
    </row>
    <row r="88" spans="1:3" x14ac:dyDescent="0.2">
      <c r="B88">
        <v>4</v>
      </c>
      <c r="C88" t="s">
        <v>129</v>
      </c>
    </row>
    <row r="89" spans="1:3" x14ac:dyDescent="0.2">
      <c r="B89">
        <v>6</v>
      </c>
      <c r="C89" t="s">
        <v>128</v>
      </c>
    </row>
    <row r="90" spans="1:3" x14ac:dyDescent="0.2">
      <c r="B90">
        <v>2</v>
      </c>
      <c r="C90" t="s">
        <v>104</v>
      </c>
    </row>
    <row r="91" spans="1:3" x14ac:dyDescent="0.2">
      <c r="B91">
        <v>1</v>
      </c>
      <c r="C91" t="s">
        <v>105</v>
      </c>
    </row>
    <row r="92" spans="1:3" x14ac:dyDescent="0.2">
      <c r="B92">
        <v>2</v>
      </c>
      <c r="C92" t="s">
        <v>106</v>
      </c>
    </row>
    <row r="93" spans="1:3" x14ac:dyDescent="0.2">
      <c r="B93">
        <v>6</v>
      </c>
      <c r="C93" t="s">
        <v>107</v>
      </c>
    </row>
    <row r="94" spans="1:3" x14ac:dyDescent="0.2">
      <c r="B94">
        <v>8</v>
      </c>
      <c r="C94" t="s">
        <v>108</v>
      </c>
    </row>
    <row r="97" spans="1:3" x14ac:dyDescent="0.2">
      <c r="A97" t="s">
        <v>109</v>
      </c>
      <c r="B97">
        <v>2</v>
      </c>
      <c r="C97" t="s">
        <v>110</v>
      </c>
    </row>
    <row r="98" spans="1:3" x14ac:dyDescent="0.2">
      <c r="B98">
        <v>4</v>
      </c>
      <c r="C98" t="s">
        <v>111</v>
      </c>
    </row>
    <row r="99" spans="1:3" x14ac:dyDescent="0.2">
      <c r="B99">
        <v>2</v>
      </c>
      <c r="C99" t="s">
        <v>112</v>
      </c>
    </row>
    <row r="100" spans="1:3" x14ac:dyDescent="0.2">
      <c r="B100">
        <v>4</v>
      </c>
      <c r="C100" t="s">
        <v>113</v>
      </c>
    </row>
    <row r="101" spans="1:3" x14ac:dyDescent="0.2">
      <c r="B101">
        <v>8</v>
      </c>
      <c r="C101" t="s">
        <v>114</v>
      </c>
    </row>
    <row r="102" spans="1:3" x14ac:dyDescent="0.2">
      <c r="B102">
        <v>2</v>
      </c>
      <c r="C102" t="s">
        <v>115</v>
      </c>
    </row>
    <row r="103" spans="1:3" x14ac:dyDescent="0.2">
      <c r="B103">
        <v>2</v>
      </c>
      <c r="C103" t="s">
        <v>116</v>
      </c>
    </row>
    <row r="104" spans="1:3" x14ac:dyDescent="0.2">
      <c r="B104">
        <v>2</v>
      </c>
      <c r="C104" t="s">
        <v>117</v>
      </c>
    </row>
    <row r="105" spans="1:3" x14ac:dyDescent="0.2">
      <c r="B105">
        <v>2</v>
      </c>
      <c r="C105" t="s">
        <v>118</v>
      </c>
    </row>
    <row r="106" spans="1:3" x14ac:dyDescent="0.2">
      <c r="B106">
        <v>5</v>
      </c>
      <c r="C106" t="s">
        <v>194</v>
      </c>
    </row>
    <row r="107" spans="1:3" x14ac:dyDescent="0.2">
      <c r="B107">
        <v>1</v>
      </c>
      <c r="C107" t="s">
        <v>195</v>
      </c>
    </row>
    <row r="110" spans="1:3" x14ac:dyDescent="0.2">
      <c r="A110" t="s">
        <v>192</v>
      </c>
      <c r="B110">
        <v>2</v>
      </c>
      <c r="C110" t="s">
        <v>119</v>
      </c>
    </row>
    <row r="111" spans="1:3" x14ac:dyDescent="0.2">
      <c r="B111">
        <v>2</v>
      </c>
      <c r="C111" t="s">
        <v>120</v>
      </c>
    </row>
    <row r="112" spans="1:3" x14ac:dyDescent="0.2">
      <c r="B112">
        <v>2</v>
      </c>
      <c r="C112" t="s">
        <v>123</v>
      </c>
    </row>
    <row r="113" spans="1:3" x14ac:dyDescent="0.2">
      <c r="B113">
        <v>2</v>
      </c>
      <c r="C113" t="s">
        <v>121</v>
      </c>
    </row>
    <row r="114" spans="1:3" x14ac:dyDescent="0.2">
      <c r="B114">
        <v>2</v>
      </c>
      <c r="C114" t="s">
        <v>124</v>
      </c>
    </row>
    <row r="115" spans="1:3" x14ac:dyDescent="0.2">
      <c r="C115" t="s">
        <v>125</v>
      </c>
    </row>
    <row r="116" spans="1:3" x14ac:dyDescent="0.2">
      <c r="C116" t="s">
        <v>126</v>
      </c>
    </row>
    <row r="117" spans="1:3" x14ac:dyDescent="0.2">
      <c r="C117" t="s">
        <v>127</v>
      </c>
    </row>
    <row r="118" spans="1:3" x14ac:dyDescent="0.2">
      <c r="C118" t="s">
        <v>193</v>
      </c>
    </row>
    <row r="119" spans="1:3" x14ac:dyDescent="0.2">
      <c r="C119" t="s">
        <v>138</v>
      </c>
    </row>
    <row r="120" spans="1:3" x14ac:dyDescent="0.2">
      <c r="B120">
        <v>2</v>
      </c>
      <c r="C120" t="s">
        <v>226</v>
      </c>
    </row>
    <row r="122" spans="1:3" x14ac:dyDescent="0.2">
      <c r="A122" t="s">
        <v>146</v>
      </c>
      <c r="B122">
        <v>2</v>
      </c>
      <c r="C122" t="s">
        <v>122</v>
      </c>
    </row>
    <row r="123" spans="1:3" x14ac:dyDescent="0.2">
      <c r="C123" t="s">
        <v>134</v>
      </c>
    </row>
    <row r="124" spans="1:3" x14ac:dyDescent="0.2">
      <c r="C124" t="s">
        <v>130</v>
      </c>
    </row>
    <row r="125" spans="1:3" x14ac:dyDescent="0.2">
      <c r="C125" t="s">
        <v>131</v>
      </c>
    </row>
    <row r="126" spans="1:3" x14ac:dyDescent="0.2">
      <c r="C126" t="s">
        <v>135</v>
      </c>
    </row>
    <row r="127" spans="1:3" x14ac:dyDescent="0.2">
      <c r="C127" t="s">
        <v>132</v>
      </c>
    </row>
    <row r="128" spans="1:3" x14ac:dyDescent="0.2">
      <c r="C128" t="s">
        <v>137</v>
      </c>
    </row>
    <row r="129" spans="1:3" x14ac:dyDescent="0.2">
      <c r="C129" t="s">
        <v>133</v>
      </c>
    </row>
    <row r="132" spans="1:3" x14ac:dyDescent="0.2">
      <c r="A132" t="s">
        <v>145</v>
      </c>
      <c r="C132" t="s">
        <v>139</v>
      </c>
    </row>
    <row r="133" spans="1:3" x14ac:dyDescent="0.2">
      <c r="C133" t="s">
        <v>136</v>
      </c>
    </row>
    <row r="134" spans="1:3" x14ac:dyDescent="0.2">
      <c r="C134" t="s">
        <v>140</v>
      </c>
    </row>
    <row r="135" spans="1:3" x14ac:dyDescent="0.2">
      <c r="C135" t="s">
        <v>141</v>
      </c>
    </row>
    <row r="136" spans="1:3" x14ac:dyDescent="0.2">
      <c r="C136" t="s">
        <v>142</v>
      </c>
    </row>
    <row r="137" spans="1:3" x14ac:dyDescent="0.2">
      <c r="C137" t="s">
        <v>143</v>
      </c>
    </row>
    <row r="138" spans="1:3" x14ac:dyDescent="0.2">
      <c r="C138" t="s">
        <v>144</v>
      </c>
    </row>
    <row r="139" spans="1:3" x14ac:dyDescent="0.2">
      <c r="C139" t="s">
        <v>147</v>
      </c>
    </row>
    <row r="140" spans="1:3" x14ac:dyDescent="0.2">
      <c r="C140" t="s">
        <v>148</v>
      </c>
    </row>
    <row r="141" spans="1:3" x14ac:dyDescent="0.2">
      <c r="C141" t="s">
        <v>149</v>
      </c>
    </row>
    <row r="142" spans="1:3" x14ac:dyDescent="0.2">
      <c r="C142" t="s">
        <v>150</v>
      </c>
    </row>
    <row r="145" spans="1:3" x14ac:dyDescent="0.2">
      <c r="A145" t="s">
        <v>151</v>
      </c>
      <c r="C145" t="s">
        <v>152</v>
      </c>
    </row>
    <row r="146" spans="1:3" x14ac:dyDescent="0.2">
      <c r="C146" t="s">
        <v>153</v>
      </c>
    </row>
    <row r="147" spans="1:3" x14ac:dyDescent="0.2">
      <c r="C147" t="s">
        <v>158</v>
      </c>
    </row>
    <row r="148" spans="1:3" x14ac:dyDescent="0.2">
      <c r="C148" t="s">
        <v>157</v>
      </c>
    </row>
    <row r="149" spans="1:3" x14ac:dyDescent="0.2">
      <c r="C149" t="s">
        <v>154</v>
      </c>
    </row>
    <row r="150" spans="1:3" x14ac:dyDescent="0.2">
      <c r="C150" t="s">
        <v>155</v>
      </c>
    </row>
    <row r="151" spans="1:3" x14ac:dyDescent="0.2">
      <c r="C151" t="s">
        <v>156</v>
      </c>
    </row>
    <row r="152" spans="1:3" x14ac:dyDescent="0.2">
      <c r="C152" t="s">
        <v>160</v>
      </c>
    </row>
    <row r="153" spans="1:3" x14ac:dyDescent="0.2">
      <c r="C153" t="s">
        <v>159</v>
      </c>
    </row>
    <row r="154" spans="1:3" x14ac:dyDescent="0.2">
      <c r="C154" t="s">
        <v>162</v>
      </c>
    </row>
    <row r="155" spans="1:3" x14ac:dyDescent="0.2">
      <c r="C155" t="s">
        <v>161</v>
      </c>
    </row>
    <row r="156" spans="1:3" x14ac:dyDescent="0.2">
      <c r="C156" t="s">
        <v>163</v>
      </c>
    </row>
    <row r="157" spans="1:3" x14ac:dyDescent="0.2">
      <c r="C157" t="s">
        <v>164</v>
      </c>
    </row>
    <row r="158" spans="1:3" x14ac:dyDescent="0.2">
      <c r="C158" t="s">
        <v>165</v>
      </c>
    </row>
    <row r="159" spans="1:3" x14ac:dyDescent="0.2">
      <c r="C159" t="s">
        <v>166</v>
      </c>
    </row>
    <row r="161" spans="1:3" x14ac:dyDescent="0.2">
      <c r="A161" t="s">
        <v>208</v>
      </c>
      <c r="C161" t="s">
        <v>209</v>
      </c>
    </row>
    <row r="162" spans="1:3" x14ac:dyDescent="0.2">
      <c r="C162" t="s">
        <v>210</v>
      </c>
    </row>
    <row r="163" spans="1:3" x14ac:dyDescent="0.2">
      <c r="C163" t="s">
        <v>211</v>
      </c>
    </row>
    <row r="164" spans="1:3" x14ac:dyDescent="0.2">
      <c r="C164" t="s">
        <v>212</v>
      </c>
    </row>
    <row r="166" spans="1:3" x14ac:dyDescent="0.2">
      <c r="A166" t="s">
        <v>174</v>
      </c>
      <c r="C166" t="s">
        <v>175</v>
      </c>
    </row>
    <row r="167" spans="1:3" x14ac:dyDescent="0.2">
      <c r="C167" t="s">
        <v>176</v>
      </c>
    </row>
    <row r="168" spans="1:3" x14ac:dyDescent="0.2">
      <c r="C168" t="s">
        <v>177</v>
      </c>
    </row>
    <row r="169" spans="1:3" x14ac:dyDescent="0.2">
      <c r="C169" t="s">
        <v>178</v>
      </c>
    </row>
    <row r="170" spans="1:3" x14ac:dyDescent="0.2">
      <c r="C170" t="s">
        <v>179</v>
      </c>
    </row>
    <row r="171" spans="1:3" x14ac:dyDescent="0.2">
      <c r="C171" t="s">
        <v>181</v>
      </c>
    </row>
    <row r="172" spans="1:3" x14ac:dyDescent="0.2">
      <c r="C172" t="s">
        <v>182</v>
      </c>
    </row>
    <row r="173" spans="1:3" x14ac:dyDescent="0.2">
      <c r="C173" t="s">
        <v>188</v>
      </c>
    </row>
    <row r="174" spans="1:3" x14ac:dyDescent="0.2">
      <c r="C174" t="s">
        <v>180</v>
      </c>
    </row>
    <row r="175" spans="1:3" x14ac:dyDescent="0.2">
      <c r="C175" t="s">
        <v>183</v>
      </c>
    </row>
    <row r="176" spans="1:3" x14ac:dyDescent="0.2">
      <c r="B176">
        <v>6</v>
      </c>
      <c r="C176" t="s">
        <v>186</v>
      </c>
    </row>
    <row r="177" spans="1:3" x14ac:dyDescent="0.2">
      <c r="C177" t="s">
        <v>185</v>
      </c>
    </row>
    <row r="178" spans="1:3" x14ac:dyDescent="0.2">
      <c r="C178" t="s">
        <v>184</v>
      </c>
    </row>
    <row r="179" spans="1:3" x14ac:dyDescent="0.2">
      <c r="C179" t="s">
        <v>187</v>
      </c>
    </row>
    <row r="182" spans="1:3" x14ac:dyDescent="0.2">
      <c r="C182" t="s">
        <v>189</v>
      </c>
    </row>
    <row r="183" spans="1:3" x14ac:dyDescent="0.2">
      <c r="C183" t="s">
        <v>190</v>
      </c>
    </row>
    <row r="184" spans="1:3" x14ac:dyDescent="0.2">
      <c r="C184" t="s">
        <v>191</v>
      </c>
    </row>
    <row r="185" spans="1:3" x14ac:dyDescent="0.2">
      <c r="C185" t="s">
        <v>198</v>
      </c>
    </row>
    <row r="186" spans="1:3" x14ac:dyDescent="0.2">
      <c r="C186" t="s">
        <v>197</v>
      </c>
    </row>
    <row r="187" spans="1:3" x14ac:dyDescent="0.2">
      <c r="C187" t="s">
        <v>199</v>
      </c>
    </row>
    <row r="188" spans="1:3" x14ac:dyDescent="0.2">
      <c r="C188" t="s">
        <v>224</v>
      </c>
    </row>
    <row r="190" spans="1:3" x14ac:dyDescent="0.2">
      <c r="A190" t="s">
        <v>225</v>
      </c>
      <c r="C190" t="s">
        <v>196</v>
      </c>
    </row>
    <row r="191" spans="1:3" x14ac:dyDescent="0.2">
      <c r="C191" t="s">
        <v>200</v>
      </c>
    </row>
    <row r="192" spans="1:3" x14ac:dyDescent="0.2">
      <c r="C192" t="s">
        <v>201</v>
      </c>
    </row>
    <row r="193" spans="1:3" x14ac:dyDescent="0.2">
      <c r="C193" t="s">
        <v>202</v>
      </c>
    </row>
    <row r="194" spans="1:3" x14ac:dyDescent="0.2">
      <c r="C194" t="s">
        <v>203</v>
      </c>
    </row>
    <row r="195" spans="1:3" x14ac:dyDescent="0.2">
      <c r="B195">
        <v>3</v>
      </c>
      <c r="C195" t="s">
        <v>231</v>
      </c>
    </row>
    <row r="196" spans="1:3" x14ac:dyDescent="0.2">
      <c r="C196" t="s">
        <v>204</v>
      </c>
    </row>
    <row r="198" spans="1:3" x14ac:dyDescent="0.2">
      <c r="A198" t="s">
        <v>214</v>
      </c>
      <c r="C198" t="s">
        <v>205</v>
      </c>
    </row>
    <row r="199" spans="1:3" x14ac:dyDescent="0.2">
      <c r="C199" t="s">
        <v>206</v>
      </c>
    </row>
    <row r="200" spans="1:3" x14ac:dyDescent="0.2">
      <c r="C200" t="s">
        <v>207</v>
      </c>
    </row>
    <row r="201" spans="1:3" x14ac:dyDescent="0.2">
      <c r="C201" t="s">
        <v>213</v>
      </c>
    </row>
    <row r="203" spans="1:3" x14ac:dyDescent="0.2">
      <c r="A203" t="s">
        <v>219</v>
      </c>
      <c r="C203" t="s">
        <v>215</v>
      </c>
    </row>
    <row r="204" spans="1:3" x14ac:dyDescent="0.2">
      <c r="C204" t="s">
        <v>216</v>
      </c>
    </row>
    <row r="205" spans="1:3" x14ac:dyDescent="0.2">
      <c r="C205" t="s">
        <v>217</v>
      </c>
    </row>
    <row r="206" spans="1:3" x14ac:dyDescent="0.2">
      <c r="C206" t="s">
        <v>218</v>
      </c>
    </row>
    <row r="208" spans="1:3" x14ac:dyDescent="0.2">
      <c r="A208" t="s">
        <v>223</v>
      </c>
      <c r="C208" t="s">
        <v>220</v>
      </c>
    </row>
    <row r="209" spans="3:3" x14ac:dyDescent="0.2">
      <c r="C209" t="s">
        <v>221</v>
      </c>
    </row>
    <row r="210" spans="3:3" x14ac:dyDescent="0.2">
      <c r="C210" t="s">
        <v>222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topLeftCell="A16" workbookViewId="0">
      <selection activeCell="F81" sqref="F81"/>
    </sheetView>
  </sheetViews>
  <sheetFormatPr baseColWidth="10" defaultRowHeight="16" x14ac:dyDescent="0.2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 x14ac:dyDescent="0.2">
      <c r="B1" s="34" t="s">
        <v>399</v>
      </c>
      <c r="C1" s="39" t="s">
        <v>538</v>
      </c>
    </row>
    <row r="2" spans="2:6" x14ac:dyDescent="0.2">
      <c r="B2" s="68" t="s">
        <v>541</v>
      </c>
      <c r="C2" s="36" t="s">
        <v>396</v>
      </c>
    </row>
    <row r="3" spans="2:6" x14ac:dyDescent="0.2">
      <c r="C3" s="37" t="s">
        <v>574</v>
      </c>
    </row>
    <row r="4" spans="2:6" x14ac:dyDescent="0.2">
      <c r="C4" s="40" t="s">
        <v>575</v>
      </c>
    </row>
    <row r="5" spans="2:6" x14ac:dyDescent="0.2">
      <c r="C5" s="66"/>
    </row>
    <row r="6" spans="2:6" x14ac:dyDescent="0.2">
      <c r="B6" s="34" t="s">
        <v>400</v>
      </c>
      <c r="C6" t="s">
        <v>542</v>
      </c>
      <c r="D6" t="s">
        <v>543</v>
      </c>
      <c r="E6" t="s">
        <v>365</v>
      </c>
      <c r="F6" t="s">
        <v>512</v>
      </c>
    </row>
    <row r="7" spans="2:6" x14ac:dyDescent="0.2">
      <c r="B7" s="34"/>
    </row>
    <row r="8" spans="2:6" x14ac:dyDescent="0.2">
      <c r="B8" t="s">
        <v>401</v>
      </c>
      <c r="C8" t="s">
        <v>500</v>
      </c>
      <c r="D8" t="s">
        <v>555</v>
      </c>
      <c r="E8" t="s">
        <v>401</v>
      </c>
    </row>
    <row r="9" spans="2:6" x14ac:dyDescent="0.2">
      <c r="B9" t="s">
        <v>401</v>
      </c>
      <c r="C9" s="37" t="s">
        <v>568</v>
      </c>
      <c r="D9" s="37" t="s">
        <v>570</v>
      </c>
      <c r="E9" t="s">
        <v>571</v>
      </c>
    </row>
    <row r="10" spans="2:6" x14ac:dyDescent="0.2">
      <c r="B10" t="s">
        <v>402</v>
      </c>
      <c r="C10" t="s">
        <v>442</v>
      </c>
    </row>
    <row r="11" spans="2:6" x14ac:dyDescent="0.2">
      <c r="B11" t="s">
        <v>403</v>
      </c>
      <c r="C11" t="s">
        <v>424</v>
      </c>
    </row>
    <row r="13" spans="2:6" x14ac:dyDescent="0.2">
      <c r="B13" t="s">
        <v>66</v>
      </c>
      <c r="C13" t="s">
        <v>425</v>
      </c>
    </row>
    <row r="14" spans="2:6" x14ac:dyDescent="0.2">
      <c r="B14" t="s">
        <v>572</v>
      </c>
      <c r="C14" s="37" t="s">
        <v>569</v>
      </c>
      <c r="D14" s="37" t="s">
        <v>573</v>
      </c>
    </row>
    <row r="15" spans="2:6" x14ac:dyDescent="0.2">
      <c r="B15" s="67" t="s">
        <v>412</v>
      </c>
      <c r="C15" s="37" t="s">
        <v>426</v>
      </c>
      <c r="D15" s="37" t="s">
        <v>483</v>
      </c>
    </row>
    <row r="16" spans="2:6" x14ac:dyDescent="0.2">
      <c r="B16" t="s">
        <v>404</v>
      </c>
      <c r="C16" t="s">
        <v>427</v>
      </c>
    </row>
    <row r="18" spans="2:5" x14ac:dyDescent="0.2">
      <c r="B18" t="s">
        <v>406</v>
      </c>
      <c r="C18" t="s">
        <v>437</v>
      </c>
      <c r="E18" t="s">
        <v>546</v>
      </c>
    </row>
    <row r="19" spans="2:5" x14ac:dyDescent="0.2">
      <c r="B19" t="s">
        <v>407</v>
      </c>
      <c r="C19" s="37" t="s">
        <v>439</v>
      </c>
      <c r="D19" s="37" t="s">
        <v>556</v>
      </c>
    </row>
    <row r="20" spans="2:5" x14ac:dyDescent="0.2">
      <c r="B20" t="s">
        <v>408</v>
      </c>
      <c r="C20" t="s">
        <v>429</v>
      </c>
    </row>
    <row r="21" spans="2:5" x14ac:dyDescent="0.2">
      <c r="B21" t="s">
        <v>482</v>
      </c>
      <c r="C21" t="s">
        <v>432</v>
      </c>
    </row>
    <row r="22" spans="2:5" x14ac:dyDescent="0.2">
      <c r="B22" t="s">
        <v>410</v>
      </c>
      <c r="C22" s="36" t="s">
        <v>433</v>
      </c>
      <c r="D22" s="36" t="s">
        <v>558</v>
      </c>
      <c r="E22" t="s">
        <v>510</v>
      </c>
    </row>
    <row r="23" spans="2:5" x14ac:dyDescent="0.2">
      <c r="B23" s="67" t="s">
        <v>409</v>
      </c>
      <c r="C23" s="37" t="s">
        <v>430</v>
      </c>
      <c r="D23" s="37" t="s">
        <v>481</v>
      </c>
    </row>
    <row r="25" spans="2:5" x14ac:dyDescent="0.2">
      <c r="B25" t="s">
        <v>411</v>
      </c>
      <c r="C25" t="s">
        <v>438</v>
      </c>
      <c r="E25" t="s">
        <v>547</v>
      </c>
    </row>
    <row r="26" spans="2:5" x14ac:dyDescent="0.2">
      <c r="B26" t="s">
        <v>407</v>
      </c>
      <c r="C26" s="37" t="s">
        <v>440</v>
      </c>
      <c r="D26" s="37" t="s">
        <v>557</v>
      </c>
    </row>
    <row r="27" spans="2:5" x14ac:dyDescent="0.2">
      <c r="B27" t="s">
        <v>408</v>
      </c>
      <c r="C27" t="s">
        <v>434</v>
      </c>
    </row>
    <row r="28" spans="2:5" x14ac:dyDescent="0.2">
      <c r="B28" t="s">
        <v>482</v>
      </c>
      <c r="C28" t="s">
        <v>435</v>
      </c>
    </row>
    <row r="29" spans="2:5" x14ac:dyDescent="0.2">
      <c r="B29" t="s">
        <v>410</v>
      </c>
      <c r="C29" s="36" t="s">
        <v>436</v>
      </c>
      <c r="D29" s="36" t="s">
        <v>559</v>
      </c>
      <c r="E29" t="s">
        <v>510</v>
      </c>
    </row>
    <row r="30" spans="2:5" x14ac:dyDescent="0.2">
      <c r="B30" s="67" t="s">
        <v>409</v>
      </c>
      <c r="C30" s="37" t="s">
        <v>431</v>
      </c>
      <c r="D30" s="37" t="s">
        <v>480</v>
      </c>
    </row>
    <row r="32" spans="2:5" x14ac:dyDescent="0.2">
      <c r="B32" s="67" t="s">
        <v>471</v>
      </c>
      <c r="C32" t="s">
        <v>423</v>
      </c>
      <c r="D32" t="s">
        <v>474</v>
      </c>
    </row>
    <row r="33" spans="2:5" x14ac:dyDescent="0.2">
      <c r="B33" s="67" t="s">
        <v>472</v>
      </c>
      <c r="C33" t="s">
        <v>441</v>
      </c>
      <c r="D33" t="s">
        <v>475</v>
      </c>
    </row>
    <row r="35" spans="2:5" x14ac:dyDescent="0.2">
      <c r="B35" t="s">
        <v>535</v>
      </c>
      <c r="C35" s="39" t="s">
        <v>536</v>
      </c>
      <c r="D35" s="39" t="s">
        <v>548</v>
      </c>
      <c r="E35" t="s">
        <v>537</v>
      </c>
    </row>
    <row r="36" spans="2:5" x14ac:dyDescent="0.2">
      <c r="B36" t="s">
        <v>534</v>
      </c>
      <c r="C36" s="37" t="s">
        <v>428</v>
      </c>
      <c r="D36" s="37" t="s">
        <v>553</v>
      </c>
    </row>
    <row r="38" spans="2:5" x14ac:dyDescent="0.2">
      <c r="B38" t="s">
        <v>530</v>
      </c>
      <c r="C38" t="s">
        <v>501</v>
      </c>
    </row>
    <row r="39" spans="2:5" x14ac:dyDescent="0.2">
      <c r="B39" t="s">
        <v>531</v>
      </c>
      <c r="C39" t="s">
        <v>502</v>
      </c>
      <c r="E39" t="s">
        <v>533</v>
      </c>
    </row>
    <row r="40" spans="2:5" x14ac:dyDescent="0.2">
      <c r="B40" t="s">
        <v>167</v>
      </c>
      <c r="C40" s="37" t="s">
        <v>503</v>
      </c>
      <c r="D40" s="37" t="s">
        <v>554</v>
      </c>
      <c r="E40" t="s">
        <v>511</v>
      </c>
    </row>
    <row r="41" spans="2:5" x14ac:dyDescent="0.2">
      <c r="B41" s="67" t="s">
        <v>532</v>
      </c>
      <c r="C41" t="s">
        <v>504</v>
      </c>
      <c r="D41" t="s">
        <v>505</v>
      </c>
    </row>
    <row r="43" spans="2:5" x14ac:dyDescent="0.2">
      <c r="B43" t="s">
        <v>405</v>
      </c>
      <c r="C43" t="s">
        <v>469</v>
      </c>
    </row>
    <row r="44" spans="2:5" x14ac:dyDescent="0.2">
      <c r="B44" s="67" t="s">
        <v>470</v>
      </c>
      <c r="C44" t="s">
        <v>473</v>
      </c>
      <c r="D44" t="s">
        <v>476</v>
      </c>
    </row>
    <row r="45" spans="2:5" x14ac:dyDescent="0.2">
      <c r="B45" s="67" t="s">
        <v>498</v>
      </c>
      <c r="C45" s="66" t="s">
        <v>422</v>
      </c>
      <c r="D45" t="s">
        <v>499</v>
      </c>
    </row>
    <row r="47" spans="2:5" x14ac:dyDescent="0.2">
      <c r="B47" s="34" t="s">
        <v>413</v>
      </c>
    </row>
    <row r="49" spans="2:5" x14ac:dyDescent="0.2">
      <c r="B49" s="67" t="s">
        <v>414</v>
      </c>
      <c r="C49" s="40" t="s">
        <v>443</v>
      </c>
      <c r="D49" s="40" t="s">
        <v>477</v>
      </c>
    </row>
    <row r="50" spans="2:5" x14ac:dyDescent="0.2">
      <c r="B50" s="67" t="s">
        <v>415</v>
      </c>
      <c r="C50" s="40" t="s">
        <v>444</v>
      </c>
      <c r="D50" s="40" t="s">
        <v>478</v>
      </c>
    </row>
    <row r="51" spans="2:5" x14ac:dyDescent="0.2">
      <c r="B51" s="67" t="s">
        <v>463</v>
      </c>
      <c r="C51" s="40" t="s">
        <v>462</v>
      </c>
      <c r="D51" s="40" t="s">
        <v>479</v>
      </c>
    </row>
    <row r="53" spans="2:5" x14ac:dyDescent="0.2">
      <c r="B53" t="s">
        <v>406</v>
      </c>
      <c r="C53" t="s">
        <v>445</v>
      </c>
      <c r="E53" t="s">
        <v>544</v>
      </c>
    </row>
    <row r="54" spans="2:5" x14ac:dyDescent="0.2">
      <c r="B54" t="s">
        <v>416</v>
      </c>
      <c r="C54" s="38" t="s">
        <v>447</v>
      </c>
      <c r="D54" s="36" t="s">
        <v>560</v>
      </c>
      <c r="E54" t="s">
        <v>510</v>
      </c>
    </row>
    <row r="55" spans="2:5" x14ac:dyDescent="0.2">
      <c r="B55" t="s">
        <v>417</v>
      </c>
      <c r="C55" s="38" t="s">
        <v>448</v>
      </c>
      <c r="D55" s="36" t="s">
        <v>561</v>
      </c>
      <c r="E55" t="s">
        <v>510</v>
      </c>
    </row>
    <row r="56" spans="2:5" x14ac:dyDescent="0.2">
      <c r="B56" t="s">
        <v>418</v>
      </c>
      <c r="C56" s="35" t="s">
        <v>449</v>
      </c>
    </row>
    <row r="57" spans="2:5" x14ac:dyDescent="0.2">
      <c r="B57" t="s">
        <v>419</v>
      </c>
      <c r="C57" s="35" t="s">
        <v>450</v>
      </c>
    </row>
    <row r="59" spans="2:5" x14ac:dyDescent="0.2">
      <c r="B59" t="s">
        <v>411</v>
      </c>
      <c r="C59" t="s">
        <v>446</v>
      </c>
      <c r="E59" t="s">
        <v>545</v>
      </c>
    </row>
    <row r="60" spans="2:5" x14ac:dyDescent="0.2">
      <c r="B60" t="s">
        <v>416</v>
      </c>
      <c r="C60" s="36" t="s">
        <v>451</v>
      </c>
      <c r="D60" s="36" t="s">
        <v>562</v>
      </c>
      <c r="E60" t="s">
        <v>510</v>
      </c>
    </row>
    <row r="61" spans="2:5" x14ac:dyDescent="0.2">
      <c r="B61" t="s">
        <v>417</v>
      </c>
      <c r="C61" s="36" t="s">
        <v>452</v>
      </c>
      <c r="D61" s="36" t="s">
        <v>563</v>
      </c>
      <c r="E61" t="s">
        <v>510</v>
      </c>
    </row>
    <row r="62" spans="2:5" x14ac:dyDescent="0.2">
      <c r="B62" t="s">
        <v>418</v>
      </c>
      <c r="C62" t="s">
        <v>453</v>
      </c>
    </row>
    <row r="63" spans="2:5" x14ac:dyDescent="0.2">
      <c r="B63" t="s">
        <v>419</v>
      </c>
      <c r="C63" t="s">
        <v>454</v>
      </c>
    </row>
    <row r="65" spans="2:5" x14ac:dyDescent="0.2">
      <c r="B65" t="s">
        <v>420</v>
      </c>
      <c r="C65" s="36" t="s">
        <v>455</v>
      </c>
      <c r="D65" s="36" t="s">
        <v>564</v>
      </c>
      <c r="E65" t="s">
        <v>510</v>
      </c>
    </row>
    <row r="66" spans="2:5" x14ac:dyDescent="0.2">
      <c r="B66" s="67" t="s">
        <v>549</v>
      </c>
      <c r="C66" t="s">
        <v>468</v>
      </c>
      <c r="D66" t="s">
        <v>491</v>
      </c>
    </row>
    <row r="67" spans="2:5" x14ac:dyDescent="0.2">
      <c r="B67" t="s">
        <v>421</v>
      </c>
      <c r="C67" s="36" t="s">
        <v>456</v>
      </c>
      <c r="D67" s="36" t="s">
        <v>565</v>
      </c>
      <c r="E67" t="s">
        <v>510</v>
      </c>
    </row>
    <row r="69" spans="2:5" x14ac:dyDescent="0.2">
      <c r="B69" t="s">
        <v>457</v>
      </c>
      <c r="C69" t="s">
        <v>458</v>
      </c>
    </row>
    <row r="70" spans="2:5" x14ac:dyDescent="0.2">
      <c r="B70" s="67" t="s">
        <v>461</v>
      </c>
      <c r="C70" t="s">
        <v>464</v>
      </c>
      <c r="D70" t="s">
        <v>539</v>
      </c>
    </row>
    <row r="71" spans="2:5" x14ac:dyDescent="0.2">
      <c r="B71" s="67" t="s">
        <v>461</v>
      </c>
      <c r="C71" s="40" t="s">
        <v>464</v>
      </c>
      <c r="D71" s="40" t="s">
        <v>484</v>
      </c>
    </row>
    <row r="72" spans="2:5" x14ac:dyDescent="0.2">
      <c r="B72" t="s">
        <v>459</v>
      </c>
      <c r="C72" t="s">
        <v>460</v>
      </c>
    </row>
    <row r="73" spans="2:5" x14ac:dyDescent="0.2">
      <c r="B73" s="67" t="s">
        <v>465</v>
      </c>
      <c r="C73" s="66" t="s">
        <v>466</v>
      </c>
      <c r="D73" t="s">
        <v>540</v>
      </c>
    </row>
    <row r="74" spans="2:5" x14ac:dyDescent="0.2">
      <c r="B74" s="67" t="s">
        <v>465</v>
      </c>
      <c r="C74" s="40" t="s">
        <v>466</v>
      </c>
      <c r="D74" s="40" t="s">
        <v>485</v>
      </c>
    </row>
    <row r="75" spans="2:5" x14ac:dyDescent="0.2">
      <c r="B75" s="67" t="s">
        <v>467</v>
      </c>
      <c r="C75" s="40" t="s">
        <v>487</v>
      </c>
      <c r="D75" s="40" t="s">
        <v>488</v>
      </c>
    </row>
    <row r="76" spans="2:5" x14ac:dyDescent="0.2">
      <c r="B76" s="67" t="s">
        <v>467</v>
      </c>
      <c r="C76" s="66" t="s">
        <v>487</v>
      </c>
      <c r="D76" t="s">
        <v>552</v>
      </c>
    </row>
    <row r="77" spans="2:5" x14ac:dyDescent="0.2">
      <c r="B77" s="67" t="s">
        <v>593</v>
      </c>
      <c r="C77" s="40" t="s">
        <v>592</v>
      </c>
      <c r="D77" s="40" t="s">
        <v>594</v>
      </c>
      <c r="E77" t="s">
        <v>595</v>
      </c>
    </row>
    <row r="79" spans="2:5" x14ac:dyDescent="0.2">
      <c r="B79" s="67" t="s">
        <v>486</v>
      </c>
      <c r="C79" t="s">
        <v>489</v>
      </c>
      <c r="D79" t="s">
        <v>490</v>
      </c>
    </row>
    <row r="80" spans="2:5" x14ac:dyDescent="0.2">
      <c r="B80" s="67" t="s">
        <v>550</v>
      </c>
      <c r="C80" t="s">
        <v>493</v>
      </c>
      <c r="D80" t="s">
        <v>492</v>
      </c>
    </row>
    <row r="81" spans="2:5" x14ac:dyDescent="0.2">
      <c r="B81" s="67" t="s">
        <v>551</v>
      </c>
      <c r="C81" t="s">
        <v>494</v>
      </c>
      <c r="D81" t="s">
        <v>495</v>
      </c>
    </row>
    <row r="82" spans="2:5" x14ac:dyDescent="0.2">
      <c r="B82" s="67" t="s">
        <v>24</v>
      </c>
      <c r="C82" t="s">
        <v>496</v>
      </c>
      <c r="D82" t="s">
        <v>497</v>
      </c>
    </row>
    <row r="83" spans="2:5" x14ac:dyDescent="0.2">
      <c r="B83" s="67" t="s">
        <v>597</v>
      </c>
      <c r="C83" t="s">
        <v>598</v>
      </c>
      <c r="D83" t="s">
        <v>599</v>
      </c>
    </row>
    <row r="85" spans="2:5" x14ac:dyDescent="0.2">
      <c r="B85" t="s">
        <v>506</v>
      </c>
      <c r="C85" t="s">
        <v>460</v>
      </c>
      <c r="D85" t="s">
        <v>508</v>
      </c>
    </row>
    <row r="86" spans="2:5" x14ac:dyDescent="0.2">
      <c r="B86" s="67" t="s">
        <v>600</v>
      </c>
      <c r="C86" t="s">
        <v>601</v>
      </c>
      <c r="D86" t="s">
        <v>602</v>
      </c>
    </row>
    <row r="87" spans="2:5" x14ac:dyDescent="0.2">
      <c r="B87" t="s">
        <v>507</v>
      </c>
      <c r="C87" s="36" t="s">
        <v>509</v>
      </c>
      <c r="D87" s="36" t="s">
        <v>566</v>
      </c>
      <c r="E87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 x14ac:dyDescent="0.2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 x14ac:dyDescent="0.2">
      <c r="B2" t="s">
        <v>396</v>
      </c>
      <c r="AA2" s="34" t="s">
        <v>396</v>
      </c>
      <c r="AB2" s="34" t="s">
        <v>623</v>
      </c>
      <c r="AC2" s="34" t="s">
        <v>624</v>
      </c>
      <c r="AD2" s="8" t="s">
        <v>625</v>
      </c>
      <c r="AE2" s="8" t="s">
        <v>622</v>
      </c>
      <c r="AF2" s="8" t="s">
        <v>684</v>
      </c>
    </row>
    <row r="3" spans="2:32" ht="17" thickBot="1" x14ac:dyDescent="0.25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612</v>
      </c>
      <c r="AB3" t="s">
        <v>447</v>
      </c>
      <c r="AC3" t="s">
        <v>626</v>
      </c>
      <c r="AD3" s="3">
        <v>2</v>
      </c>
      <c r="AE3" s="3" t="s">
        <v>639</v>
      </c>
    </row>
    <row r="4" spans="2:32" x14ac:dyDescent="0.2">
      <c r="B4" t="s">
        <v>397</v>
      </c>
      <c r="C4" s="44" t="s">
        <v>517</v>
      </c>
      <c r="D4" s="45" t="s">
        <v>516</v>
      </c>
      <c r="E4" s="44" t="s">
        <v>517</v>
      </c>
      <c r="F4" s="45" t="s">
        <v>516</v>
      </c>
      <c r="G4" s="44" t="s">
        <v>517</v>
      </c>
      <c r="H4" s="45" t="s">
        <v>516</v>
      </c>
      <c r="I4" s="44" t="s">
        <v>517</v>
      </c>
      <c r="J4" s="45" t="s">
        <v>516</v>
      </c>
      <c r="K4" s="44" t="s">
        <v>517</v>
      </c>
      <c r="L4" s="45" t="s">
        <v>516</v>
      </c>
      <c r="M4" s="44" t="s">
        <v>517</v>
      </c>
      <c r="N4" s="45" t="s">
        <v>516</v>
      </c>
      <c r="O4" s="44" t="s">
        <v>517</v>
      </c>
      <c r="P4" s="45" t="s">
        <v>516</v>
      </c>
      <c r="Q4" s="46" t="s">
        <v>517</v>
      </c>
      <c r="AA4" t="s">
        <v>613</v>
      </c>
      <c r="AB4" t="s">
        <v>448</v>
      </c>
      <c r="AC4" t="s">
        <v>626</v>
      </c>
      <c r="AD4" s="3">
        <v>4</v>
      </c>
      <c r="AE4" s="3" t="s">
        <v>640</v>
      </c>
    </row>
    <row r="5" spans="2:32" ht="17" thickBot="1" x14ac:dyDescent="0.25">
      <c r="C5" s="60" t="s">
        <v>447</v>
      </c>
      <c r="D5" s="62"/>
      <c r="E5" s="60" t="s">
        <v>448</v>
      </c>
      <c r="F5" s="62"/>
      <c r="G5" s="60" t="s">
        <v>451</v>
      </c>
      <c r="H5" s="62"/>
      <c r="I5" s="60" t="s">
        <v>452</v>
      </c>
      <c r="J5" s="62"/>
      <c r="K5" s="60" t="s">
        <v>455</v>
      </c>
      <c r="L5" s="62"/>
      <c r="M5" s="60" t="s">
        <v>456</v>
      </c>
      <c r="N5" s="62"/>
      <c r="O5" s="60" t="s">
        <v>519</v>
      </c>
      <c r="P5" s="62"/>
      <c r="Q5" s="63" t="s">
        <v>604</v>
      </c>
      <c r="AA5" t="s">
        <v>614</v>
      </c>
      <c r="AB5" t="s">
        <v>451</v>
      </c>
      <c r="AC5" t="s">
        <v>626</v>
      </c>
      <c r="AD5" s="3">
        <v>6</v>
      </c>
      <c r="AE5" s="3" t="s">
        <v>641</v>
      </c>
    </row>
    <row r="6" spans="2:32" ht="17" thickBot="1" x14ac:dyDescent="0.25">
      <c r="AA6" t="s">
        <v>621</v>
      </c>
      <c r="AB6" t="s">
        <v>452</v>
      </c>
      <c r="AC6" t="s">
        <v>626</v>
      </c>
      <c r="AD6" s="3">
        <v>8</v>
      </c>
      <c r="AE6" s="3" t="s">
        <v>642</v>
      </c>
      <c r="AF6" s="34"/>
    </row>
    <row r="7" spans="2:32" x14ac:dyDescent="0.2">
      <c r="B7" t="s">
        <v>398</v>
      </c>
      <c r="C7" s="54" t="s">
        <v>433</v>
      </c>
      <c r="D7" s="64"/>
      <c r="E7" s="54" t="s">
        <v>436</v>
      </c>
      <c r="F7" s="64"/>
      <c r="G7" s="54" t="s">
        <v>509</v>
      </c>
      <c r="H7" s="64"/>
      <c r="I7" s="47"/>
      <c r="J7" s="71"/>
      <c r="K7" s="71" t="s">
        <v>513</v>
      </c>
      <c r="L7" s="71"/>
      <c r="M7" s="72"/>
      <c r="N7" s="69" t="s">
        <v>596</v>
      </c>
      <c r="O7" s="70"/>
      <c r="P7" s="65" t="s">
        <v>518</v>
      </c>
      <c r="Q7" s="65" t="s">
        <v>603</v>
      </c>
      <c r="AA7" t="s">
        <v>615</v>
      </c>
      <c r="AB7" t="s">
        <v>455</v>
      </c>
      <c r="AC7" t="s">
        <v>626</v>
      </c>
      <c r="AD7" s="3">
        <v>10</v>
      </c>
      <c r="AE7" s="3" t="s">
        <v>643</v>
      </c>
    </row>
    <row r="8" spans="2:32" ht="17" thickBot="1" x14ac:dyDescent="0.25">
      <c r="C8" s="57" t="s">
        <v>517</v>
      </c>
      <c r="D8" s="58" t="s">
        <v>516</v>
      </c>
      <c r="E8" s="57" t="s">
        <v>517</v>
      </c>
      <c r="F8" s="58" t="s">
        <v>516</v>
      </c>
      <c r="G8" s="57" t="s">
        <v>517</v>
      </c>
      <c r="H8" s="58" t="s">
        <v>516</v>
      </c>
      <c r="I8" s="53"/>
      <c r="J8" s="51"/>
      <c r="K8" s="51"/>
      <c r="L8" s="51"/>
      <c r="M8" s="52"/>
      <c r="N8" s="57" t="s">
        <v>515</v>
      </c>
      <c r="O8" s="58" t="s">
        <v>514</v>
      </c>
      <c r="P8" s="61" t="s">
        <v>516</v>
      </c>
      <c r="Q8" s="61" t="s">
        <v>517</v>
      </c>
      <c r="AA8" t="s">
        <v>616</v>
      </c>
      <c r="AB8" t="s">
        <v>456</v>
      </c>
      <c r="AC8" t="s">
        <v>626</v>
      </c>
      <c r="AD8" s="3">
        <v>12</v>
      </c>
      <c r="AE8" s="3" t="s">
        <v>644</v>
      </c>
    </row>
    <row r="9" spans="2:32" x14ac:dyDescent="0.2">
      <c r="AA9" t="s">
        <v>617</v>
      </c>
      <c r="AB9" t="s">
        <v>433</v>
      </c>
      <c r="AC9" t="s">
        <v>626</v>
      </c>
      <c r="AD9" s="3">
        <v>1</v>
      </c>
      <c r="AE9" s="3" t="s">
        <v>645</v>
      </c>
    </row>
    <row r="10" spans="2:32" x14ac:dyDescent="0.2">
      <c r="B10" t="s">
        <v>574</v>
      </c>
      <c r="AA10" t="s">
        <v>618</v>
      </c>
      <c r="AB10" t="s">
        <v>436</v>
      </c>
      <c r="AC10" t="s">
        <v>626</v>
      </c>
      <c r="AD10" s="3">
        <v>3</v>
      </c>
      <c r="AE10" s="3" t="s">
        <v>646</v>
      </c>
    </row>
    <row r="11" spans="2:32" ht="17" thickBot="1" x14ac:dyDescent="0.25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620</v>
      </c>
      <c r="AB11" t="s">
        <v>509</v>
      </c>
      <c r="AC11" t="s">
        <v>627</v>
      </c>
      <c r="AD11" s="3">
        <v>5</v>
      </c>
      <c r="AE11" s="3" t="s">
        <v>647</v>
      </c>
    </row>
    <row r="12" spans="2:32" x14ac:dyDescent="0.2">
      <c r="B12" t="s">
        <v>397</v>
      </c>
      <c r="C12" s="44" t="s">
        <v>514</v>
      </c>
      <c r="D12" s="45" t="s">
        <v>515</v>
      </c>
      <c r="E12" s="41"/>
      <c r="F12" s="43"/>
      <c r="G12" s="42"/>
      <c r="H12" s="44" t="s">
        <v>515</v>
      </c>
      <c r="I12" s="50" t="s">
        <v>515</v>
      </c>
      <c r="J12" s="50" t="s">
        <v>514</v>
      </c>
      <c r="K12" s="45" t="s">
        <v>514</v>
      </c>
      <c r="L12" s="3"/>
      <c r="M12" s="44" t="s">
        <v>514</v>
      </c>
      <c r="N12" s="50" t="s">
        <v>515</v>
      </c>
      <c r="O12" s="45" t="s">
        <v>513</v>
      </c>
      <c r="P12" s="44" t="s">
        <v>514</v>
      </c>
      <c r="Q12" s="50" t="s">
        <v>515</v>
      </c>
      <c r="R12" s="45" t="s">
        <v>513</v>
      </c>
      <c r="S12" s="44" t="s">
        <v>514</v>
      </c>
      <c r="T12" s="50" t="s">
        <v>515</v>
      </c>
      <c r="U12" s="45" t="s">
        <v>513</v>
      </c>
      <c r="AA12" t="s">
        <v>628</v>
      </c>
      <c r="AD12" s="3">
        <v>14</v>
      </c>
      <c r="AE12" s="3" t="s">
        <v>648</v>
      </c>
    </row>
    <row r="13" spans="2:32" ht="17" thickBot="1" x14ac:dyDescent="0.25">
      <c r="C13" s="60" t="s">
        <v>502</v>
      </c>
      <c r="D13" s="52"/>
      <c r="E13" s="53"/>
      <c r="F13" s="51" t="s">
        <v>513</v>
      </c>
      <c r="G13" s="52"/>
      <c r="H13" s="53"/>
      <c r="I13" s="49"/>
      <c r="J13" s="51" t="s">
        <v>426</v>
      </c>
      <c r="K13" s="52"/>
      <c r="L13" s="3"/>
      <c r="M13" s="53"/>
      <c r="N13" s="51" t="s">
        <v>428</v>
      </c>
      <c r="O13" s="52"/>
      <c r="P13" s="53"/>
      <c r="Q13" s="51" t="s">
        <v>430</v>
      </c>
      <c r="R13" s="52"/>
      <c r="S13" s="53"/>
      <c r="T13" s="51" t="s">
        <v>431</v>
      </c>
      <c r="U13" s="52"/>
    </row>
    <row r="14" spans="2:32" ht="17" thickBot="1" x14ac:dyDescent="0.25">
      <c r="AA14" t="s">
        <v>685</v>
      </c>
      <c r="AC14" s="3" t="s">
        <v>686</v>
      </c>
      <c r="AE14" s="3" t="s">
        <v>688</v>
      </c>
      <c r="AF14" s="3" t="s">
        <v>690</v>
      </c>
    </row>
    <row r="15" spans="2:32" x14ac:dyDescent="0.2">
      <c r="B15" t="s">
        <v>398</v>
      </c>
      <c r="C15" s="54" t="s">
        <v>568</v>
      </c>
      <c r="D15" s="42"/>
      <c r="E15" s="54" t="s">
        <v>569</v>
      </c>
      <c r="F15" s="42"/>
      <c r="G15" s="54"/>
      <c r="H15" s="55" t="s">
        <v>439</v>
      </c>
      <c r="I15" s="48"/>
      <c r="J15" s="56"/>
      <c r="K15" s="42"/>
      <c r="L15" s="3"/>
      <c r="M15" s="54"/>
      <c r="N15" s="55" t="s">
        <v>440</v>
      </c>
      <c r="O15" s="48"/>
      <c r="P15" s="56"/>
      <c r="Q15" s="42"/>
      <c r="R15" s="55" t="s">
        <v>513</v>
      </c>
      <c r="S15" s="42"/>
      <c r="T15" s="54" t="s">
        <v>529</v>
      </c>
      <c r="U15" s="42"/>
      <c r="AC15" s="3" t="s">
        <v>687</v>
      </c>
      <c r="AE15" s="3" t="s">
        <v>689</v>
      </c>
    </row>
    <row r="16" spans="2:32" ht="17" thickBot="1" x14ac:dyDescent="0.25">
      <c r="C16" s="57" t="s">
        <v>514</v>
      </c>
      <c r="D16" s="58" t="s">
        <v>515</v>
      </c>
      <c r="E16" s="57" t="s">
        <v>514</v>
      </c>
      <c r="F16" s="58" t="s">
        <v>515</v>
      </c>
      <c r="G16" s="57" t="s">
        <v>514</v>
      </c>
      <c r="H16" s="59" t="s">
        <v>515</v>
      </c>
      <c r="I16" s="59" t="s">
        <v>520</v>
      </c>
      <c r="J16" s="59" t="s">
        <v>521</v>
      </c>
      <c r="K16" s="58" t="s">
        <v>522</v>
      </c>
      <c r="L16" s="3"/>
      <c r="M16" s="57" t="s">
        <v>514</v>
      </c>
      <c r="N16" s="59" t="s">
        <v>515</v>
      </c>
      <c r="O16" s="59" t="s">
        <v>520</v>
      </c>
      <c r="P16" s="59" t="s">
        <v>521</v>
      </c>
      <c r="Q16" s="58" t="s">
        <v>522</v>
      </c>
      <c r="R16" s="59"/>
      <c r="S16" s="58"/>
      <c r="T16" s="57" t="s">
        <v>514</v>
      </c>
      <c r="U16" s="58" t="s">
        <v>515</v>
      </c>
    </row>
    <row r="18" spans="27:31" x14ac:dyDescent="0.2">
      <c r="AA18" s="34" t="s">
        <v>605</v>
      </c>
    </row>
    <row r="19" spans="27:31" x14ac:dyDescent="0.2">
      <c r="AA19" t="s">
        <v>523</v>
      </c>
      <c r="AB19" t="s">
        <v>568</v>
      </c>
      <c r="AC19" t="s">
        <v>629</v>
      </c>
      <c r="AD19" s="3">
        <v>5</v>
      </c>
      <c r="AE19" s="3" t="s">
        <v>649</v>
      </c>
    </row>
    <row r="21" spans="27:31" x14ac:dyDescent="0.2">
      <c r="AA21" t="s">
        <v>567</v>
      </c>
      <c r="AB21" t="s">
        <v>569</v>
      </c>
      <c r="AC21" t="s">
        <v>630</v>
      </c>
      <c r="AD21" s="3">
        <v>7</v>
      </c>
      <c r="AE21" s="3" t="s">
        <v>650</v>
      </c>
    </row>
    <row r="22" spans="27:31" x14ac:dyDescent="0.2">
      <c r="AC22" t="s">
        <v>631</v>
      </c>
      <c r="AD22" s="3">
        <v>9</v>
      </c>
      <c r="AE22" s="3" t="s">
        <v>651</v>
      </c>
    </row>
    <row r="24" spans="27:31" x14ac:dyDescent="0.2">
      <c r="AA24" t="s">
        <v>610</v>
      </c>
      <c r="AB24" t="s">
        <v>528</v>
      </c>
      <c r="AC24" t="s">
        <v>606</v>
      </c>
      <c r="AD24" s="3">
        <v>11</v>
      </c>
      <c r="AE24" s="3" t="s">
        <v>652</v>
      </c>
    </row>
    <row r="25" spans="27:31" x14ac:dyDescent="0.2">
      <c r="AC25" t="s">
        <v>609</v>
      </c>
      <c r="AD25" s="3">
        <v>13</v>
      </c>
      <c r="AE25" s="3" t="s">
        <v>653</v>
      </c>
    </row>
    <row r="26" spans="27:31" x14ac:dyDescent="0.2">
      <c r="AC26" t="s">
        <v>607</v>
      </c>
      <c r="AD26" s="3">
        <v>19</v>
      </c>
      <c r="AE26" s="3" t="s">
        <v>656</v>
      </c>
    </row>
    <row r="27" spans="27:31" x14ac:dyDescent="0.2">
      <c r="AC27" t="s">
        <v>608</v>
      </c>
      <c r="AD27" s="3">
        <v>21</v>
      </c>
      <c r="AE27" s="3" t="s">
        <v>657</v>
      </c>
    </row>
    <row r="29" spans="27:31" x14ac:dyDescent="0.2">
      <c r="AA29" t="s">
        <v>611</v>
      </c>
      <c r="AB29" t="s">
        <v>440</v>
      </c>
      <c r="AC29" t="s">
        <v>606</v>
      </c>
      <c r="AD29" s="3">
        <v>15</v>
      </c>
      <c r="AE29" s="3" t="s">
        <v>654</v>
      </c>
    </row>
    <row r="30" spans="27:31" x14ac:dyDescent="0.2">
      <c r="AC30" t="s">
        <v>609</v>
      </c>
      <c r="AD30" s="3">
        <v>17</v>
      </c>
      <c r="AE30" s="3" t="s">
        <v>655</v>
      </c>
    </row>
    <row r="31" spans="27:31" x14ac:dyDescent="0.2">
      <c r="AC31" t="s">
        <v>607</v>
      </c>
      <c r="AD31" s="3">
        <v>23</v>
      </c>
      <c r="AE31" s="3" t="s">
        <v>658</v>
      </c>
    </row>
    <row r="32" spans="27:31" x14ac:dyDescent="0.2">
      <c r="AC32" t="s">
        <v>608</v>
      </c>
      <c r="AD32" s="3">
        <v>25</v>
      </c>
      <c r="AE32" s="3" t="s">
        <v>659</v>
      </c>
    </row>
    <row r="34" spans="27:32" x14ac:dyDescent="0.2">
      <c r="AA34" t="s">
        <v>619</v>
      </c>
      <c r="AB34" t="s">
        <v>502</v>
      </c>
      <c r="AC34" t="s">
        <v>632</v>
      </c>
      <c r="AD34" s="3">
        <v>6</v>
      </c>
      <c r="AE34" s="3" t="s">
        <v>660</v>
      </c>
    </row>
    <row r="36" spans="27:32" x14ac:dyDescent="0.2">
      <c r="AA36" t="s">
        <v>524</v>
      </c>
      <c r="AB36" t="s">
        <v>426</v>
      </c>
      <c r="AC36" t="s">
        <v>635</v>
      </c>
      <c r="AD36" s="3">
        <v>8</v>
      </c>
      <c r="AE36" s="3" t="s">
        <v>661</v>
      </c>
    </row>
    <row r="37" spans="27:32" x14ac:dyDescent="0.2">
      <c r="AC37" t="s">
        <v>636</v>
      </c>
      <c r="AD37" s="3">
        <v>10</v>
      </c>
      <c r="AE37" s="3" t="s">
        <v>662</v>
      </c>
    </row>
    <row r="38" spans="27:32" x14ac:dyDescent="0.2">
      <c r="AC38" t="s">
        <v>637</v>
      </c>
      <c r="AD38" s="3">
        <v>12</v>
      </c>
      <c r="AE38" s="3" t="s">
        <v>663</v>
      </c>
    </row>
    <row r="39" spans="27:32" x14ac:dyDescent="0.2">
      <c r="AC39" t="s">
        <v>633</v>
      </c>
      <c r="AD39" s="3">
        <v>14</v>
      </c>
      <c r="AE39" s="3" t="s">
        <v>664</v>
      </c>
    </row>
    <row r="40" spans="27:32" x14ac:dyDescent="0.2">
      <c r="AC40" t="s">
        <v>638</v>
      </c>
      <c r="AD40" s="3">
        <v>16</v>
      </c>
      <c r="AE40" s="3" t="s">
        <v>665</v>
      </c>
    </row>
    <row r="42" spans="27:32" x14ac:dyDescent="0.2">
      <c r="AA42" t="s">
        <v>634</v>
      </c>
      <c r="AC42" t="s">
        <v>636</v>
      </c>
      <c r="AD42" s="3">
        <v>18</v>
      </c>
      <c r="AE42" s="3" t="s">
        <v>669</v>
      </c>
    </row>
    <row r="43" spans="27:32" x14ac:dyDescent="0.2">
      <c r="AA43" t="s">
        <v>634</v>
      </c>
      <c r="AC43" t="s">
        <v>635</v>
      </c>
      <c r="AD43" s="3">
        <v>20</v>
      </c>
      <c r="AE43" s="3" t="s">
        <v>670</v>
      </c>
    </row>
    <row r="44" spans="27:32" x14ac:dyDescent="0.2">
      <c r="AA44" t="s">
        <v>525</v>
      </c>
      <c r="AB44" t="s">
        <v>428</v>
      </c>
      <c r="AC44" t="s">
        <v>633</v>
      </c>
      <c r="AD44" s="3">
        <v>22</v>
      </c>
      <c r="AE44" s="3" t="s">
        <v>666</v>
      </c>
    </row>
    <row r="45" spans="27:32" x14ac:dyDescent="0.2">
      <c r="AA45" t="s">
        <v>527</v>
      </c>
      <c r="AB45" t="s">
        <v>430</v>
      </c>
      <c r="AC45" t="s">
        <v>633</v>
      </c>
      <c r="AD45" s="3">
        <v>24</v>
      </c>
      <c r="AE45" s="3" t="s">
        <v>667</v>
      </c>
    </row>
    <row r="46" spans="27:32" x14ac:dyDescent="0.2">
      <c r="AA46" t="s">
        <v>526</v>
      </c>
      <c r="AB46" t="s">
        <v>431</v>
      </c>
      <c r="AC46" t="s">
        <v>633</v>
      </c>
      <c r="AD46" s="3">
        <v>26</v>
      </c>
      <c r="AE46" s="3" t="s">
        <v>668</v>
      </c>
    </row>
    <row r="48" spans="27:32" x14ac:dyDescent="0.2">
      <c r="AA48" t="s">
        <v>685</v>
      </c>
      <c r="AC48" s="3" t="s">
        <v>686</v>
      </c>
      <c r="AE48" s="3" t="s">
        <v>688</v>
      </c>
      <c r="AF48" s="3" t="s">
        <v>690</v>
      </c>
    </row>
    <row r="49" spans="29:31" x14ac:dyDescent="0.2">
      <c r="AC49" s="3" t="s">
        <v>687</v>
      </c>
      <c r="AE49" s="3" t="s">
        <v>689</v>
      </c>
    </row>
  </sheetData>
  <pageMargins left="0.7" right="0.7" top="0.75" bottom="0.75" header="0.3" footer="0.3"/>
  <pageSetup scale="57" orientation="landscape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 x14ac:dyDescent="0.2"/>
  <cols>
    <col min="2" max="2" width="18.83203125" customWidth="1"/>
    <col min="4" max="4" width="11.6640625" customWidth="1"/>
    <col min="7" max="8" width="10.83203125" style="3"/>
  </cols>
  <sheetData>
    <row r="2" spans="2:11" x14ac:dyDescent="0.2">
      <c r="B2" t="s">
        <v>575</v>
      </c>
    </row>
    <row r="5" spans="2:11" x14ac:dyDescent="0.2">
      <c r="D5" s="3" t="s">
        <v>579</v>
      </c>
      <c r="E5" s="3" t="s">
        <v>580</v>
      </c>
      <c r="F5" t="s">
        <v>586</v>
      </c>
      <c r="G5" s="3" t="s">
        <v>624</v>
      </c>
      <c r="H5" s="3" t="s">
        <v>671</v>
      </c>
      <c r="I5" s="3" t="s">
        <v>684</v>
      </c>
    </row>
    <row r="6" spans="2:11" x14ac:dyDescent="0.2">
      <c r="B6" s="67" t="s">
        <v>414</v>
      </c>
      <c r="C6" s="40" t="s">
        <v>443</v>
      </c>
      <c r="D6" s="3" t="s">
        <v>581</v>
      </c>
      <c r="E6" s="3">
        <v>4</v>
      </c>
      <c r="F6" s="3">
        <v>4</v>
      </c>
      <c r="I6" t="s">
        <v>693</v>
      </c>
    </row>
    <row r="7" spans="2:11" x14ac:dyDescent="0.2">
      <c r="G7" s="3" t="s">
        <v>678</v>
      </c>
      <c r="H7" s="3" t="s">
        <v>677</v>
      </c>
    </row>
    <row r="8" spans="2:11" x14ac:dyDescent="0.2">
      <c r="B8" s="67" t="s">
        <v>467</v>
      </c>
      <c r="C8" s="40" t="s">
        <v>487</v>
      </c>
      <c r="D8" s="3" t="s">
        <v>581</v>
      </c>
      <c r="E8" s="3">
        <v>4</v>
      </c>
      <c r="F8" s="3">
        <v>4</v>
      </c>
      <c r="I8" t="s">
        <v>692</v>
      </c>
    </row>
    <row r="9" spans="2:11" x14ac:dyDescent="0.2">
      <c r="G9" s="3" t="s">
        <v>691</v>
      </c>
      <c r="H9" s="3">
        <v>21</v>
      </c>
    </row>
    <row r="10" spans="2:11" x14ac:dyDescent="0.2">
      <c r="G10" s="3" t="s">
        <v>672</v>
      </c>
      <c r="H10" s="3">
        <v>20</v>
      </c>
    </row>
    <row r="11" spans="2:11" x14ac:dyDescent="0.2">
      <c r="B11" s="67" t="s">
        <v>415</v>
      </c>
      <c r="C11" s="40" t="s">
        <v>444</v>
      </c>
      <c r="D11" s="3" t="s">
        <v>582</v>
      </c>
      <c r="E11" s="3">
        <v>3</v>
      </c>
      <c r="F11" s="3">
        <v>3</v>
      </c>
    </row>
    <row r="12" spans="2:11" x14ac:dyDescent="0.2">
      <c r="G12" s="3" t="s">
        <v>635</v>
      </c>
      <c r="H12" s="3" t="s">
        <v>661</v>
      </c>
      <c r="K12" s="3"/>
    </row>
    <row r="13" spans="2:11" x14ac:dyDescent="0.2">
      <c r="G13" s="3" t="s">
        <v>636</v>
      </c>
      <c r="H13" s="3" t="s">
        <v>662</v>
      </c>
      <c r="K13" s="3"/>
    </row>
    <row r="14" spans="2:11" x14ac:dyDescent="0.2">
      <c r="G14" s="3" t="s">
        <v>637</v>
      </c>
      <c r="H14" s="3" t="s">
        <v>663</v>
      </c>
      <c r="K14" s="3"/>
    </row>
    <row r="15" spans="2:11" x14ac:dyDescent="0.2">
      <c r="G15" s="3" t="s">
        <v>633</v>
      </c>
      <c r="H15" s="3" t="s">
        <v>664</v>
      </c>
      <c r="K15" s="3"/>
    </row>
    <row r="16" spans="2:11" x14ac:dyDescent="0.2">
      <c r="G16" s="3" t="s">
        <v>638</v>
      </c>
      <c r="H16" s="3" t="s">
        <v>665</v>
      </c>
      <c r="K16" s="3"/>
    </row>
    <row r="17" spans="2:8" x14ac:dyDescent="0.2">
      <c r="B17" s="67" t="s">
        <v>463</v>
      </c>
      <c r="C17" s="40" t="s">
        <v>462</v>
      </c>
      <c r="D17" s="3" t="s">
        <v>583</v>
      </c>
      <c r="E17" s="3">
        <v>3</v>
      </c>
      <c r="F17" s="3">
        <v>3</v>
      </c>
      <c r="H17" s="3" t="s">
        <v>673</v>
      </c>
    </row>
    <row r="18" spans="2:8" x14ac:dyDescent="0.2">
      <c r="B18" s="67" t="s">
        <v>461</v>
      </c>
      <c r="C18" s="40" t="s">
        <v>464</v>
      </c>
      <c r="D18" s="3" t="s">
        <v>583</v>
      </c>
      <c r="E18" s="3">
        <v>3</v>
      </c>
      <c r="F18" s="3">
        <v>3</v>
      </c>
      <c r="H18" s="3" t="s">
        <v>674</v>
      </c>
    </row>
    <row r="19" spans="2:8" x14ac:dyDescent="0.2">
      <c r="B19" s="67" t="s">
        <v>465</v>
      </c>
      <c r="C19" s="40" t="s">
        <v>466</v>
      </c>
      <c r="D19" s="3" t="s">
        <v>583</v>
      </c>
      <c r="E19" s="3">
        <v>3</v>
      </c>
      <c r="F19" s="3">
        <v>3</v>
      </c>
      <c r="H19" s="3" t="s">
        <v>675</v>
      </c>
    </row>
    <row r="20" spans="2:8" x14ac:dyDescent="0.2">
      <c r="B20" s="67" t="s">
        <v>591</v>
      </c>
      <c r="C20" s="40" t="s">
        <v>592</v>
      </c>
      <c r="D20" s="3" t="s">
        <v>588</v>
      </c>
      <c r="E20" s="3">
        <v>3</v>
      </c>
      <c r="F20" s="3">
        <v>3</v>
      </c>
      <c r="H20" s="3" t="s">
        <v>676</v>
      </c>
    </row>
    <row r="21" spans="2:8" x14ac:dyDescent="0.2">
      <c r="B21" s="10" t="s">
        <v>577</v>
      </c>
      <c r="D21" s="3" t="s">
        <v>589</v>
      </c>
      <c r="E21" s="3">
        <v>2</v>
      </c>
      <c r="F21" s="3">
        <v>3</v>
      </c>
      <c r="H21" s="3" t="s">
        <v>654</v>
      </c>
    </row>
    <row r="22" spans="2:8" x14ac:dyDescent="0.2">
      <c r="B22" s="10" t="s">
        <v>578</v>
      </c>
      <c r="D22" s="3" t="s">
        <v>590</v>
      </c>
      <c r="E22" s="3">
        <v>4</v>
      </c>
      <c r="F22" s="3">
        <v>4</v>
      </c>
      <c r="G22" s="3" t="s">
        <v>679</v>
      </c>
      <c r="H22" s="3" t="s">
        <v>653</v>
      </c>
    </row>
    <row r="23" spans="2:8" x14ac:dyDescent="0.2">
      <c r="G23" s="3" t="s">
        <v>680</v>
      </c>
      <c r="H23" s="3" t="s">
        <v>652</v>
      </c>
    </row>
    <row r="24" spans="2:8" x14ac:dyDescent="0.2">
      <c r="G24" s="3" t="s">
        <v>681</v>
      </c>
      <c r="H24" s="3" t="s">
        <v>651</v>
      </c>
    </row>
    <row r="25" spans="2:8" x14ac:dyDescent="0.2">
      <c r="B25" s="10" t="s">
        <v>584</v>
      </c>
      <c r="D25" s="3" t="s">
        <v>585</v>
      </c>
      <c r="E25" s="3">
        <v>5</v>
      </c>
      <c r="F25" s="3">
        <v>5</v>
      </c>
    </row>
    <row r="26" spans="2:8" x14ac:dyDescent="0.2">
      <c r="G26" s="3" t="s">
        <v>682</v>
      </c>
      <c r="H26" s="3" t="s">
        <v>659</v>
      </c>
    </row>
    <row r="27" spans="2:8" x14ac:dyDescent="0.2">
      <c r="G27" s="3" t="s">
        <v>683</v>
      </c>
      <c r="H27" s="3" t="s">
        <v>658</v>
      </c>
    </row>
    <row r="28" spans="2:8" x14ac:dyDescent="0.2">
      <c r="G28" s="3" t="s">
        <v>661</v>
      </c>
      <c r="H28" s="3" t="s">
        <v>657</v>
      </c>
    </row>
    <row r="29" spans="2:8" x14ac:dyDescent="0.2">
      <c r="B29" s="10" t="s">
        <v>576</v>
      </c>
      <c r="D29" s="3" t="s">
        <v>529</v>
      </c>
      <c r="E29" s="3">
        <v>2</v>
      </c>
      <c r="F29" s="3">
        <v>3</v>
      </c>
    </row>
    <row r="30" spans="2:8" x14ac:dyDescent="0.2">
      <c r="B30" s="10" t="s">
        <v>587</v>
      </c>
      <c r="D30" s="3" t="s">
        <v>529</v>
      </c>
      <c r="E30" s="3">
        <v>2</v>
      </c>
      <c r="F30" s="3">
        <v>3</v>
      </c>
    </row>
    <row r="31" spans="2:8" x14ac:dyDescent="0.2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C4:H34"/>
  <sheetViews>
    <sheetView workbookViewId="0">
      <selection activeCell="C16" sqref="C16"/>
    </sheetView>
  </sheetViews>
  <sheetFormatPr baseColWidth="10" defaultRowHeight="16" x14ac:dyDescent="0.2"/>
  <cols>
    <col min="5" max="5" width="13.33203125" customWidth="1"/>
  </cols>
  <sheetData>
    <row r="4" spans="3:4" x14ac:dyDescent="0.2">
      <c r="C4" t="s">
        <v>735</v>
      </c>
    </row>
    <row r="5" spans="3:4" x14ac:dyDescent="0.2">
      <c r="C5">
        <v>32</v>
      </c>
      <c r="D5" t="s">
        <v>726</v>
      </c>
    </row>
    <row r="6" spans="3:4" x14ac:dyDescent="0.2">
      <c r="C6">
        <v>22.4</v>
      </c>
      <c r="D6" t="s">
        <v>727</v>
      </c>
    </row>
    <row r="7" spans="3:4" x14ac:dyDescent="0.2">
      <c r="C7" s="1">
        <f>C5/C6</f>
        <v>1.4285714285714286</v>
      </c>
      <c r="D7" t="s">
        <v>723</v>
      </c>
    </row>
    <row r="9" spans="3:4" x14ac:dyDescent="0.2">
      <c r="C9">
        <v>1.4291</v>
      </c>
    </row>
    <row r="11" spans="3:4" x14ac:dyDescent="0.2">
      <c r="C11">
        <v>100</v>
      </c>
      <c r="D11" t="s">
        <v>236</v>
      </c>
    </row>
    <row r="12" spans="3:4" x14ac:dyDescent="0.2">
      <c r="C12" s="2">
        <f>C11*C9*1440/1000</f>
        <v>205.79040000000001</v>
      </c>
      <c r="D12" t="s">
        <v>724</v>
      </c>
    </row>
    <row r="14" spans="3:4" x14ac:dyDescent="0.2">
      <c r="C14" s="29">
        <f>1000/C12*C11</f>
        <v>485.93131652399722</v>
      </c>
      <c r="D14" t="s">
        <v>725</v>
      </c>
    </row>
    <row r="19" spans="3:8" x14ac:dyDescent="0.2">
      <c r="C19" t="s">
        <v>734</v>
      </c>
    </row>
    <row r="21" spans="3:8" x14ac:dyDescent="0.2">
      <c r="C21">
        <v>28</v>
      </c>
      <c r="D21" t="s">
        <v>726</v>
      </c>
    </row>
    <row r="22" spans="3:8" x14ac:dyDescent="0.2">
      <c r="C22">
        <v>22.4</v>
      </c>
      <c r="D22" t="s">
        <v>727</v>
      </c>
    </row>
    <row r="23" spans="3:8" x14ac:dyDescent="0.2">
      <c r="C23" s="1">
        <f>C21/C22</f>
        <v>1.25</v>
      </c>
      <c r="D23" t="s">
        <v>723</v>
      </c>
    </row>
    <row r="25" spans="3:8" x14ac:dyDescent="0.2">
      <c r="D25" s="8" t="s">
        <v>826</v>
      </c>
      <c r="E25" s="8" t="s">
        <v>823</v>
      </c>
      <c r="F25" s="8" t="s">
        <v>824</v>
      </c>
      <c r="G25" s="8" t="s">
        <v>825</v>
      </c>
    </row>
    <row r="26" spans="3:8" x14ac:dyDescent="0.2">
      <c r="C26" t="s">
        <v>821</v>
      </c>
      <c r="D26">
        <v>0</v>
      </c>
      <c r="E26">
        <v>0.65</v>
      </c>
      <c r="F26">
        <v>1.1000000000000001</v>
      </c>
      <c r="G26">
        <v>0.1</v>
      </c>
      <c r="H26" t="s">
        <v>818</v>
      </c>
    </row>
    <row r="27" spans="3:8" x14ac:dyDescent="0.2">
      <c r="D27">
        <f>D26*$C21</f>
        <v>0</v>
      </c>
      <c r="E27">
        <f>E26*$C21</f>
        <v>18.2</v>
      </c>
      <c r="F27">
        <f>F26*$C21</f>
        <v>30.800000000000004</v>
      </c>
      <c r="G27">
        <f>G26*$C21</f>
        <v>2.8000000000000003</v>
      </c>
      <c r="H27" t="s">
        <v>822</v>
      </c>
    </row>
    <row r="28" spans="3:8" x14ac:dyDescent="0.2">
      <c r="D28">
        <f>D27/$C23</f>
        <v>0</v>
      </c>
      <c r="E28">
        <f>E27/$C23</f>
        <v>14.559999999999999</v>
      </c>
      <c r="F28">
        <f>F27/$C23</f>
        <v>24.640000000000004</v>
      </c>
      <c r="G28">
        <f>G27/$C23</f>
        <v>2.2400000000000002</v>
      </c>
      <c r="H28" t="s">
        <v>819</v>
      </c>
    </row>
    <row r="29" spans="3:8" x14ac:dyDescent="0.2">
      <c r="C29" t="s">
        <v>820</v>
      </c>
      <c r="D29">
        <v>1.4</v>
      </c>
      <c r="E29">
        <v>1.2</v>
      </c>
      <c r="F29">
        <v>1.4</v>
      </c>
      <c r="G29">
        <v>0.8</v>
      </c>
      <c r="H29" t="s">
        <v>818</v>
      </c>
    </row>
    <row r="30" spans="3:8" x14ac:dyDescent="0.2">
      <c r="D30">
        <f>D29*$C21</f>
        <v>39.199999999999996</v>
      </c>
      <c r="E30">
        <f>E29*$C21</f>
        <v>33.6</v>
      </c>
      <c r="F30">
        <f>F29*$C21</f>
        <v>39.199999999999996</v>
      </c>
      <c r="G30">
        <f>G29*$C21</f>
        <v>22.400000000000002</v>
      </c>
      <c r="H30" t="s">
        <v>822</v>
      </c>
    </row>
    <row r="31" spans="3:8" x14ac:dyDescent="0.2">
      <c r="D31">
        <f>D30/$C23</f>
        <v>31.359999999999996</v>
      </c>
      <c r="E31">
        <f>E30/$C23</f>
        <v>26.880000000000003</v>
      </c>
      <c r="F31">
        <f>F30/$C23</f>
        <v>31.359999999999996</v>
      </c>
      <c r="G31">
        <f>G30/$C23</f>
        <v>17.920000000000002</v>
      </c>
      <c r="H31" t="s">
        <v>819</v>
      </c>
    </row>
    <row r="34" spans="4:8" x14ac:dyDescent="0.2">
      <c r="D34">
        <f>D31-D28</f>
        <v>31.359999999999996</v>
      </c>
      <c r="E34">
        <f>E31-E28</f>
        <v>12.320000000000004</v>
      </c>
      <c r="F34">
        <f>F31-F28</f>
        <v>6.7199999999999918</v>
      </c>
      <c r="G34">
        <f>G31-G28</f>
        <v>15.680000000000001</v>
      </c>
      <c r="H34" t="s">
        <v>740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M86"/>
  <sheetViews>
    <sheetView topLeftCell="A60" workbookViewId="0">
      <selection activeCell="D71" sqref="D71:M71"/>
    </sheetView>
  </sheetViews>
  <sheetFormatPr baseColWidth="10" defaultRowHeight="16" x14ac:dyDescent="0.2"/>
  <cols>
    <col min="2" max="2" width="85.33203125" customWidth="1"/>
  </cols>
  <sheetData>
    <row r="6" spans="2:2" ht="21" x14ac:dyDescent="0.25">
      <c r="B6" s="73" t="s">
        <v>709</v>
      </c>
    </row>
    <row r="8" spans="2:2" ht="18" x14ac:dyDescent="0.2">
      <c r="B8" s="73" t="s">
        <v>702</v>
      </c>
    </row>
    <row r="10" spans="2:2" ht="18" x14ac:dyDescent="0.2">
      <c r="B10" s="73" t="s">
        <v>703</v>
      </c>
    </row>
    <row r="12" spans="2:2" ht="18" x14ac:dyDescent="0.2">
      <c r="B12" s="73" t="s">
        <v>704</v>
      </c>
    </row>
    <row r="14" spans="2:2" ht="18" x14ac:dyDescent="0.2">
      <c r="B14" s="73" t="s">
        <v>705</v>
      </c>
    </row>
    <row r="16" spans="2:2" ht="20" x14ac:dyDescent="0.25">
      <c r="B16" s="73" t="s">
        <v>706</v>
      </c>
    </row>
    <row r="18" spans="2:10" ht="20" x14ac:dyDescent="0.25">
      <c r="B18" s="73" t="s">
        <v>707</v>
      </c>
    </row>
    <row r="20" spans="2:10" ht="18" x14ac:dyDescent="0.2">
      <c r="B20" s="74" t="s">
        <v>708</v>
      </c>
    </row>
    <row r="23" spans="2:10" x14ac:dyDescent="0.2">
      <c r="C23" t="s">
        <v>516</v>
      </c>
      <c r="D23">
        <v>1</v>
      </c>
      <c r="E23" t="s">
        <v>710</v>
      </c>
      <c r="G23" t="s">
        <v>516</v>
      </c>
      <c r="H23">
        <v>1</v>
      </c>
      <c r="I23">
        <v>1</v>
      </c>
      <c r="J23" t="s">
        <v>710</v>
      </c>
    </row>
    <row r="24" spans="2:10" x14ac:dyDescent="0.2">
      <c r="C24" t="s">
        <v>711</v>
      </c>
      <c r="D24">
        <v>1.41</v>
      </c>
      <c r="E24" t="s">
        <v>717</v>
      </c>
      <c r="G24" t="s">
        <v>711</v>
      </c>
      <c r="H24">
        <v>1.41</v>
      </c>
      <c r="I24">
        <v>1.41</v>
      </c>
      <c r="J24" t="s">
        <v>717</v>
      </c>
    </row>
    <row r="25" spans="2:10" x14ac:dyDescent="0.2">
      <c r="C25" t="s">
        <v>712</v>
      </c>
      <c r="D25">
        <v>14.7</v>
      </c>
      <c r="E25" t="s">
        <v>716</v>
      </c>
      <c r="G25" t="s">
        <v>712</v>
      </c>
      <c r="H25">
        <v>14.7</v>
      </c>
      <c r="I25">
        <v>1.5</v>
      </c>
      <c r="J25" t="s">
        <v>716</v>
      </c>
    </row>
    <row r="26" spans="2:10" x14ac:dyDescent="0.2">
      <c r="C26" t="s">
        <v>713</v>
      </c>
      <c r="D26" s="66">
        <f>D29+14.7</f>
        <v>60</v>
      </c>
      <c r="E26" t="s">
        <v>716</v>
      </c>
      <c r="G26" t="s">
        <v>713</v>
      </c>
      <c r="H26" s="66">
        <v>30</v>
      </c>
      <c r="I26" s="66">
        <v>14.7</v>
      </c>
      <c r="J26" t="s">
        <v>716</v>
      </c>
    </row>
    <row r="28" spans="2:10" x14ac:dyDescent="0.2">
      <c r="C28" t="s">
        <v>715</v>
      </c>
      <c r="D28" s="26">
        <v>5</v>
      </c>
      <c r="E28" t="s">
        <v>294</v>
      </c>
      <c r="G28" t="s">
        <v>715</v>
      </c>
      <c r="H28" s="26">
        <v>12</v>
      </c>
      <c r="I28" s="26">
        <v>7</v>
      </c>
      <c r="J28" t="s">
        <v>294</v>
      </c>
    </row>
    <row r="29" spans="2:10" x14ac:dyDescent="0.2">
      <c r="C29" t="s">
        <v>714</v>
      </c>
      <c r="D29" s="26">
        <v>45.3</v>
      </c>
      <c r="E29" t="s">
        <v>18</v>
      </c>
      <c r="G29" t="s">
        <v>714</v>
      </c>
      <c r="H29" s="26">
        <v>45.3</v>
      </c>
      <c r="I29" s="26">
        <v>45.3</v>
      </c>
      <c r="J29" t="s">
        <v>18</v>
      </c>
    </row>
    <row r="31" spans="2:10" x14ac:dyDescent="0.2">
      <c r="C31" t="s">
        <v>720</v>
      </c>
      <c r="D31" s="22">
        <f>(144*D23*D25*D28*D24/(33000*(D24-1)))*((D26/D25)^((D24-1)/(D23*D24))-1)</f>
        <v>0.55732237182397459</v>
      </c>
      <c r="G31" t="s">
        <v>720</v>
      </c>
      <c r="H31" s="22">
        <f>(144*H23*H25*H28*H24/(33000*(H24-1)))*((H26/H25)^((H24-1)/(H23*H24))-1)</f>
        <v>0.61019754123029601</v>
      </c>
      <c r="I31" s="22">
        <f>(144*I23*I25*I28*I24/(33000*(I24-1)))*((I26/I25)^((I24-1)/(I23*I24))-1)</f>
        <v>0.14841644391600728</v>
      </c>
    </row>
    <row r="32" spans="2:10" x14ac:dyDescent="0.2">
      <c r="C32" t="s">
        <v>719</v>
      </c>
      <c r="D32">
        <v>0.8</v>
      </c>
      <c r="G32" t="s">
        <v>719</v>
      </c>
      <c r="H32">
        <v>0.8</v>
      </c>
      <c r="I32">
        <v>0.8</v>
      </c>
    </row>
    <row r="33" spans="3:13" x14ac:dyDescent="0.2">
      <c r="C33" t="s">
        <v>718</v>
      </c>
      <c r="D33" s="1">
        <f>D31*0.7457/D32</f>
        <v>0.51949411583642224</v>
      </c>
      <c r="G33" t="s">
        <v>718</v>
      </c>
      <c r="H33" s="1">
        <f>H31*0.7457/H32</f>
        <v>0.56878038311928969</v>
      </c>
      <c r="I33" s="1">
        <f>I31*0.7457/I32</f>
        <v>0.13834267778520828</v>
      </c>
    </row>
    <row r="38" spans="3:13" x14ac:dyDescent="0.2">
      <c r="C38" t="s">
        <v>516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 x14ac:dyDescent="0.2">
      <c r="C39" t="s">
        <v>711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 x14ac:dyDescent="0.2">
      <c r="C40" t="s">
        <v>712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 x14ac:dyDescent="0.2">
      <c r="C41" t="s">
        <v>713</v>
      </c>
      <c r="D41" s="66">
        <f t="shared" ref="D41:M41" si="0">D44+14.7</f>
        <v>34.700000000000003</v>
      </c>
      <c r="E41" s="66">
        <f t="shared" si="0"/>
        <v>34.700000000000003</v>
      </c>
      <c r="F41" s="66">
        <f t="shared" si="0"/>
        <v>34.700000000000003</v>
      </c>
      <c r="G41" s="66">
        <f t="shared" si="0"/>
        <v>34.700000000000003</v>
      </c>
      <c r="H41" s="66">
        <f t="shared" si="0"/>
        <v>34.700000000000003</v>
      </c>
      <c r="I41" s="66">
        <f t="shared" si="0"/>
        <v>34.700000000000003</v>
      </c>
      <c r="J41" s="66">
        <f t="shared" si="0"/>
        <v>34.700000000000003</v>
      </c>
      <c r="K41" s="66">
        <f t="shared" si="0"/>
        <v>34.700000000000003</v>
      </c>
      <c r="L41" s="66">
        <f t="shared" si="0"/>
        <v>34.700000000000003</v>
      </c>
      <c r="M41" s="66">
        <f t="shared" si="0"/>
        <v>34.700000000000003</v>
      </c>
    </row>
    <row r="43" spans="3:13" x14ac:dyDescent="0.2">
      <c r="C43" t="s">
        <v>715</v>
      </c>
      <c r="D43" s="26">
        <v>2</v>
      </c>
      <c r="E43" s="26">
        <v>4</v>
      </c>
      <c r="F43" s="26">
        <v>6</v>
      </c>
      <c r="G43" s="26">
        <v>8</v>
      </c>
      <c r="H43" s="26">
        <v>10</v>
      </c>
      <c r="I43" s="26">
        <v>12</v>
      </c>
      <c r="J43" s="26">
        <v>14</v>
      </c>
      <c r="K43" s="26">
        <v>16</v>
      </c>
      <c r="L43" s="26">
        <v>18</v>
      </c>
      <c r="M43" s="26">
        <v>20</v>
      </c>
    </row>
    <row r="44" spans="3:13" x14ac:dyDescent="0.2">
      <c r="C44" t="s">
        <v>714</v>
      </c>
      <c r="D44" s="26">
        <v>20</v>
      </c>
      <c r="E44" s="26">
        <v>20</v>
      </c>
      <c r="F44" s="26">
        <v>20</v>
      </c>
      <c r="G44" s="26">
        <v>20</v>
      </c>
      <c r="H44" s="26">
        <v>20</v>
      </c>
      <c r="I44" s="26">
        <v>20</v>
      </c>
      <c r="J44" s="26">
        <v>20</v>
      </c>
      <c r="K44" s="26">
        <v>20</v>
      </c>
      <c r="L44" s="26">
        <v>20</v>
      </c>
      <c r="M44" s="26">
        <v>20</v>
      </c>
    </row>
    <row r="46" spans="3:13" x14ac:dyDescent="0.2">
      <c r="C46" t="s">
        <v>720</v>
      </c>
      <c r="D46" s="22">
        <f t="shared" ref="D46:M46" si="1">(144*D38*D40*D43*D39/(33000*(D39-1)))*((D41/D40)^((D39-1)/(D38*D39))-1)</f>
        <v>0.12516846225590467</v>
      </c>
      <c r="E46" s="22">
        <f t="shared" si="1"/>
        <v>0.25033692451180933</v>
      </c>
      <c r="F46" s="22">
        <f t="shared" si="1"/>
        <v>0.37550538676771406</v>
      </c>
      <c r="G46" s="22">
        <f t="shared" si="1"/>
        <v>0.50067384902361867</v>
      </c>
      <c r="H46" s="22">
        <f t="shared" si="1"/>
        <v>0.62584231127952339</v>
      </c>
      <c r="I46" s="22">
        <f t="shared" si="1"/>
        <v>0.75101077353542811</v>
      </c>
      <c r="J46" s="22">
        <f t="shared" si="1"/>
        <v>0.87617923579133261</v>
      </c>
      <c r="K46" s="22">
        <f t="shared" si="1"/>
        <v>1.0013476980472373</v>
      </c>
      <c r="L46" s="22">
        <f t="shared" si="1"/>
        <v>1.1265161603031422</v>
      </c>
      <c r="M46" s="22">
        <f t="shared" si="1"/>
        <v>1.2516846225590468</v>
      </c>
    </row>
    <row r="47" spans="3:13" x14ac:dyDescent="0.2">
      <c r="C47" t="s">
        <v>719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 x14ac:dyDescent="0.2">
      <c r="C48" t="s">
        <v>718</v>
      </c>
      <c r="D48" s="1">
        <f t="shared" ref="D48:M48" si="2">D46*0.7457/D47</f>
        <v>0.11667265288028514</v>
      </c>
      <c r="E48" s="1">
        <f t="shared" si="2"/>
        <v>0.23334530576057028</v>
      </c>
      <c r="F48" s="1">
        <f t="shared" si="2"/>
        <v>0.35001795864085544</v>
      </c>
      <c r="G48" s="1">
        <f t="shared" si="2"/>
        <v>0.46669061152114055</v>
      </c>
      <c r="H48" s="1">
        <f t="shared" si="2"/>
        <v>0.58336326440142572</v>
      </c>
      <c r="I48" s="1">
        <f t="shared" si="2"/>
        <v>0.70003591728171088</v>
      </c>
      <c r="J48" s="1">
        <f t="shared" si="2"/>
        <v>0.81670857016199594</v>
      </c>
      <c r="K48" s="1">
        <f t="shared" si="2"/>
        <v>0.93338122304228111</v>
      </c>
      <c r="L48" s="1">
        <f t="shared" si="2"/>
        <v>1.0500538759225664</v>
      </c>
      <c r="M48" s="1">
        <f t="shared" si="2"/>
        <v>1.1667265288028514</v>
      </c>
    </row>
    <row r="52" spans="3:13" x14ac:dyDescent="0.2">
      <c r="C52" t="s">
        <v>516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 x14ac:dyDescent="0.2">
      <c r="C53" t="s">
        <v>711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 x14ac:dyDescent="0.2">
      <c r="C54" t="s">
        <v>712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 x14ac:dyDescent="0.2">
      <c r="C55" t="s">
        <v>713</v>
      </c>
      <c r="D55" s="66">
        <f t="shared" ref="D55:M55" si="3">D58+14.7</f>
        <v>54.7</v>
      </c>
      <c r="E55" s="66">
        <f t="shared" si="3"/>
        <v>54.7</v>
      </c>
      <c r="F55" s="66">
        <f t="shared" si="3"/>
        <v>54.7</v>
      </c>
      <c r="G55" s="66">
        <f t="shared" si="3"/>
        <v>54.7</v>
      </c>
      <c r="H55" s="66">
        <f t="shared" si="3"/>
        <v>54.7</v>
      </c>
      <c r="I55" s="66">
        <f t="shared" si="3"/>
        <v>54.7</v>
      </c>
      <c r="J55" s="66">
        <f t="shared" si="3"/>
        <v>54.7</v>
      </c>
      <c r="K55" s="66">
        <f t="shared" si="3"/>
        <v>54.7</v>
      </c>
      <c r="L55" s="66">
        <f t="shared" si="3"/>
        <v>54.7</v>
      </c>
      <c r="M55" s="66">
        <f t="shared" si="3"/>
        <v>54.7</v>
      </c>
    </row>
    <row r="57" spans="3:13" x14ac:dyDescent="0.2">
      <c r="C57" t="s">
        <v>715</v>
      </c>
      <c r="D57" s="26">
        <v>2</v>
      </c>
      <c r="E57" s="26">
        <v>4</v>
      </c>
      <c r="F57" s="26">
        <v>6</v>
      </c>
      <c r="G57" s="26">
        <v>8</v>
      </c>
      <c r="H57" s="26">
        <v>10</v>
      </c>
      <c r="I57" s="26">
        <v>12</v>
      </c>
      <c r="J57" s="26">
        <v>14</v>
      </c>
      <c r="K57" s="26">
        <v>16</v>
      </c>
      <c r="L57" s="26">
        <v>18</v>
      </c>
      <c r="M57" s="26">
        <v>20</v>
      </c>
    </row>
    <row r="58" spans="3:13" x14ac:dyDescent="0.2">
      <c r="C58" t="s">
        <v>714</v>
      </c>
      <c r="D58" s="26">
        <v>40</v>
      </c>
      <c r="E58" s="26">
        <v>40</v>
      </c>
      <c r="F58" s="26">
        <v>40</v>
      </c>
      <c r="G58" s="26">
        <v>40</v>
      </c>
      <c r="H58" s="26">
        <v>40</v>
      </c>
      <c r="I58" s="26">
        <v>40</v>
      </c>
      <c r="J58" s="26">
        <v>40</v>
      </c>
      <c r="K58" s="26">
        <v>40</v>
      </c>
      <c r="L58" s="26">
        <v>40</v>
      </c>
      <c r="M58" s="26">
        <v>40</v>
      </c>
    </row>
    <row r="60" spans="3:13" x14ac:dyDescent="0.2">
      <c r="C60" t="s">
        <v>720</v>
      </c>
      <c r="D60" s="22">
        <f t="shared" ref="D60:M60" si="4">(144*D52*D54*D57*D53/(33000*(D53-1)))*((D55/D54)^((D53-1)/(D52*D53))-1)</f>
        <v>0.2053075762552144</v>
      </c>
      <c r="E60" s="22">
        <f t="shared" si="4"/>
        <v>0.41061515251042879</v>
      </c>
      <c r="F60" s="22">
        <f t="shared" si="4"/>
        <v>0.61592272876564313</v>
      </c>
      <c r="G60" s="22">
        <f t="shared" si="4"/>
        <v>0.82123030502085759</v>
      </c>
      <c r="H60" s="22">
        <f t="shared" si="4"/>
        <v>1.0265378812760719</v>
      </c>
      <c r="I60" s="22">
        <f t="shared" si="4"/>
        <v>1.2318454575312863</v>
      </c>
      <c r="J60" s="22">
        <f t="shared" si="4"/>
        <v>1.4371530337865004</v>
      </c>
      <c r="K60" s="22">
        <f t="shared" si="4"/>
        <v>1.6424606100417152</v>
      </c>
      <c r="L60" s="22">
        <f t="shared" si="4"/>
        <v>1.8477681862969295</v>
      </c>
      <c r="M60" s="22">
        <f t="shared" si="4"/>
        <v>2.0530757625521439</v>
      </c>
    </row>
    <row r="61" spans="3:13" x14ac:dyDescent="0.2">
      <c r="C61" t="s">
        <v>719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 x14ac:dyDescent="0.2">
      <c r="C62" t="s">
        <v>718</v>
      </c>
      <c r="D62" s="1">
        <f t="shared" ref="D62:M62" si="5">D60*0.7457/D61</f>
        <v>0.19137232451689171</v>
      </c>
      <c r="E62" s="1">
        <f t="shared" si="5"/>
        <v>0.38274464903378341</v>
      </c>
      <c r="F62" s="1">
        <f t="shared" si="5"/>
        <v>0.57411697355067515</v>
      </c>
      <c r="G62" s="1">
        <f t="shared" si="5"/>
        <v>0.76548929806756683</v>
      </c>
      <c r="H62" s="1">
        <f t="shared" si="5"/>
        <v>0.9568616225844585</v>
      </c>
      <c r="I62" s="1">
        <f t="shared" si="5"/>
        <v>1.1482339471013503</v>
      </c>
      <c r="J62" s="1">
        <f t="shared" si="5"/>
        <v>1.3396062716182415</v>
      </c>
      <c r="K62" s="1">
        <f t="shared" si="5"/>
        <v>1.5309785961351337</v>
      </c>
      <c r="L62" s="1">
        <f t="shared" si="5"/>
        <v>1.7223509206520253</v>
      </c>
      <c r="M62" s="1">
        <f t="shared" si="5"/>
        <v>1.913723245168917</v>
      </c>
    </row>
    <row r="66" spans="3:13" x14ac:dyDescent="0.2">
      <c r="C66" t="s">
        <v>516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 x14ac:dyDescent="0.2">
      <c r="C67" t="s">
        <v>711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 x14ac:dyDescent="0.2">
      <c r="C68" t="s">
        <v>712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 x14ac:dyDescent="0.2">
      <c r="C69" t="s">
        <v>713</v>
      </c>
      <c r="D69" s="66">
        <f t="shared" ref="D69:M69" si="6">D72+14.7</f>
        <v>74.7</v>
      </c>
      <c r="E69" s="66">
        <f t="shared" si="6"/>
        <v>74.7</v>
      </c>
      <c r="F69" s="66">
        <f t="shared" si="6"/>
        <v>74.7</v>
      </c>
      <c r="G69" s="66">
        <f t="shared" si="6"/>
        <v>74.7</v>
      </c>
      <c r="H69" s="66">
        <f t="shared" si="6"/>
        <v>74.7</v>
      </c>
      <c r="I69" s="66">
        <f t="shared" si="6"/>
        <v>74.7</v>
      </c>
      <c r="J69" s="66">
        <f t="shared" si="6"/>
        <v>74.7</v>
      </c>
      <c r="K69" s="66">
        <f t="shared" si="6"/>
        <v>74.7</v>
      </c>
      <c r="L69" s="66">
        <f t="shared" si="6"/>
        <v>74.7</v>
      </c>
      <c r="M69" s="66">
        <f t="shared" si="6"/>
        <v>74.7</v>
      </c>
    </row>
    <row r="71" spans="3:13" x14ac:dyDescent="0.2">
      <c r="C71" t="s">
        <v>715</v>
      </c>
      <c r="D71" s="26">
        <v>2</v>
      </c>
      <c r="E71" s="26">
        <v>4</v>
      </c>
      <c r="F71" s="26">
        <v>6</v>
      </c>
      <c r="G71" s="26">
        <v>8</v>
      </c>
      <c r="H71" s="26">
        <v>10</v>
      </c>
      <c r="I71" s="26">
        <v>12</v>
      </c>
      <c r="J71" s="26">
        <v>14</v>
      </c>
      <c r="K71" s="26">
        <v>16</v>
      </c>
      <c r="L71" s="26">
        <v>18</v>
      </c>
      <c r="M71" s="26">
        <v>20</v>
      </c>
    </row>
    <row r="72" spans="3:13" x14ac:dyDescent="0.2">
      <c r="C72" t="s">
        <v>714</v>
      </c>
      <c r="D72" s="26">
        <v>60</v>
      </c>
      <c r="E72" s="26">
        <v>60</v>
      </c>
      <c r="F72" s="26">
        <v>60</v>
      </c>
      <c r="G72" s="26">
        <v>60</v>
      </c>
      <c r="H72" s="26">
        <v>60</v>
      </c>
      <c r="I72" s="26">
        <v>60</v>
      </c>
      <c r="J72" s="26">
        <v>60</v>
      </c>
      <c r="K72" s="26">
        <v>60</v>
      </c>
      <c r="L72" s="26">
        <v>60</v>
      </c>
      <c r="M72" s="26">
        <v>60</v>
      </c>
    </row>
    <row r="74" spans="3:13" x14ac:dyDescent="0.2">
      <c r="C74" t="s">
        <v>720</v>
      </c>
      <c r="D74" s="22">
        <f t="shared" ref="D74:M74" si="7">(144*D66*D68*D71*D67/(33000*(D67-1)))*((D69/D68)^((D67-1)/(D66*D67))-1)</f>
        <v>0.26662449799758908</v>
      </c>
      <c r="E74" s="22">
        <f t="shared" si="7"/>
        <v>0.53324899599517817</v>
      </c>
      <c r="F74" s="22">
        <f t="shared" si="7"/>
        <v>0.79987349399276719</v>
      </c>
      <c r="G74" s="22">
        <f t="shared" si="7"/>
        <v>1.0664979919903563</v>
      </c>
      <c r="H74" s="22">
        <f t="shared" si="7"/>
        <v>1.3331224899879452</v>
      </c>
      <c r="I74" s="22">
        <f t="shared" si="7"/>
        <v>1.5997469879855344</v>
      </c>
      <c r="J74" s="22">
        <f t="shared" si="7"/>
        <v>1.8663714859831231</v>
      </c>
      <c r="K74" s="22">
        <f t="shared" si="7"/>
        <v>2.1329959839807127</v>
      </c>
      <c r="L74" s="22">
        <f t="shared" si="7"/>
        <v>2.3996204819783014</v>
      </c>
      <c r="M74" s="22">
        <f t="shared" si="7"/>
        <v>2.6662449799758905</v>
      </c>
    </row>
    <row r="75" spans="3:13" x14ac:dyDescent="0.2">
      <c r="C75" t="s">
        <v>719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 x14ac:dyDescent="0.2">
      <c r="C76" t="s">
        <v>718</v>
      </c>
      <c r="D76" s="1">
        <f t="shared" ref="D76:M76" si="8">D74*0.7457/D75</f>
        <v>0.24852736019600272</v>
      </c>
      <c r="E76" s="1">
        <f t="shared" si="8"/>
        <v>0.49705472039200543</v>
      </c>
      <c r="F76" s="1">
        <f t="shared" si="8"/>
        <v>0.74558208058800812</v>
      </c>
      <c r="G76" s="1">
        <f t="shared" si="8"/>
        <v>0.99410944078401087</v>
      </c>
      <c r="H76" s="1">
        <f t="shared" si="8"/>
        <v>1.2426368009800133</v>
      </c>
      <c r="I76" s="1">
        <f t="shared" si="8"/>
        <v>1.4911641611760162</v>
      </c>
      <c r="J76" s="1">
        <f t="shared" si="8"/>
        <v>1.7396915213720188</v>
      </c>
      <c r="K76" s="1">
        <f t="shared" si="8"/>
        <v>1.9882188815680217</v>
      </c>
      <c r="L76" s="1">
        <f t="shared" si="8"/>
        <v>2.236746241764024</v>
      </c>
      <c r="M76" s="1">
        <f t="shared" si="8"/>
        <v>2.4852736019600266</v>
      </c>
    </row>
    <row r="77" spans="3:13" x14ac:dyDescent="0.2"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 x14ac:dyDescent="0.2"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80" spans="3:13" x14ac:dyDescent="0.2"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2" spans="3:13" x14ac:dyDescent="0.2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3" x14ac:dyDescent="0.2">
      <c r="D83">
        <f>D71</f>
        <v>2</v>
      </c>
      <c r="E83">
        <f t="shared" ref="E83:M83" si="9">E71</f>
        <v>4</v>
      </c>
      <c r="F83">
        <f t="shared" si="9"/>
        <v>6</v>
      </c>
      <c r="G83">
        <f t="shared" si="9"/>
        <v>8</v>
      </c>
      <c r="H83">
        <f t="shared" si="9"/>
        <v>10</v>
      </c>
      <c r="I83">
        <f t="shared" si="9"/>
        <v>12</v>
      </c>
      <c r="J83">
        <f t="shared" si="9"/>
        <v>14</v>
      </c>
      <c r="K83">
        <f t="shared" si="9"/>
        <v>16</v>
      </c>
      <c r="L83">
        <f t="shared" si="9"/>
        <v>18</v>
      </c>
      <c r="M83">
        <f t="shared" si="9"/>
        <v>20</v>
      </c>
    </row>
    <row r="84" spans="3:13" x14ac:dyDescent="0.2">
      <c r="C84" t="s">
        <v>837</v>
      </c>
      <c r="D84" s="1">
        <f>D48</f>
        <v>0.11667265288028514</v>
      </c>
      <c r="E84" s="1">
        <f t="shared" ref="E84:M84" si="10">E48</f>
        <v>0.23334530576057028</v>
      </c>
      <c r="F84" s="1">
        <f t="shared" si="10"/>
        <v>0.35001795864085544</v>
      </c>
      <c r="G84" s="1">
        <f t="shared" si="10"/>
        <v>0.46669061152114055</v>
      </c>
      <c r="H84" s="1">
        <f t="shared" si="10"/>
        <v>0.58336326440142572</v>
      </c>
      <c r="I84" s="1">
        <f t="shared" si="10"/>
        <v>0.70003591728171088</v>
      </c>
      <c r="J84" s="1">
        <f t="shared" si="10"/>
        <v>0.81670857016199594</v>
      </c>
      <c r="K84" s="1">
        <f t="shared" si="10"/>
        <v>0.93338122304228111</v>
      </c>
      <c r="L84" s="1">
        <f t="shared" si="10"/>
        <v>1.0500538759225664</v>
      </c>
      <c r="M84" s="1">
        <f t="shared" si="10"/>
        <v>1.1667265288028514</v>
      </c>
    </row>
    <row r="85" spans="3:13" x14ac:dyDescent="0.2">
      <c r="C85" t="s">
        <v>722</v>
      </c>
      <c r="D85" s="1">
        <f>D62</f>
        <v>0.19137232451689171</v>
      </c>
      <c r="E85" s="1">
        <f t="shared" ref="E85:M85" si="11">E62</f>
        <v>0.38274464903378341</v>
      </c>
      <c r="F85" s="1">
        <f t="shared" si="11"/>
        <v>0.57411697355067515</v>
      </c>
      <c r="G85" s="1">
        <f t="shared" si="11"/>
        <v>0.76548929806756683</v>
      </c>
      <c r="H85" s="1">
        <f t="shared" si="11"/>
        <v>0.9568616225844585</v>
      </c>
      <c r="I85" s="1">
        <f t="shared" si="11"/>
        <v>1.1482339471013503</v>
      </c>
      <c r="J85" s="1">
        <f t="shared" si="11"/>
        <v>1.3396062716182415</v>
      </c>
      <c r="K85" s="1">
        <f t="shared" si="11"/>
        <v>1.5309785961351337</v>
      </c>
      <c r="L85" s="1">
        <f t="shared" si="11"/>
        <v>1.7223509206520253</v>
      </c>
      <c r="M85" s="1">
        <f t="shared" si="11"/>
        <v>1.913723245168917</v>
      </c>
    </row>
    <row r="86" spans="3:13" x14ac:dyDescent="0.2">
      <c r="C86" t="s">
        <v>721</v>
      </c>
      <c r="D86" s="1">
        <f>D76</f>
        <v>0.24852736019600272</v>
      </c>
      <c r="E86" s="1">
        <f t="shared" ref="E86:M86" si="12">E76</f>
        <v>0.49705472039200543</v>
      </c>
      <c r="F86" s="1">
        <f t="shared" si="12"/>
        <v>0.74558208058800812</v>
      </c>
      <c r="G86" s="1">
        <f t="shared" si="12"/>
        <v>0.99410944078401087</v>
      </c>
      <c r="H86" s="1">
        <f t="shared" si="12"/>
        <v>1.2426368009800133</v>
      </c>
      <c r="I86" s="1">
        <f t="shared" si="12"/>
        <v>1.4911641611760162</v>
      </c>
      <c r="J86" s="1">
        <f t="shared" si="12"/>
        <v>1.7396915213720188</v>
      </c>
      <c r="K86" s="1">
        <f t="shared" si="12"/>
        <v>1.9882188815680217</v>
      </c>
      <c r="L86" s="1">
        <f t="shared" si="12"/>
        <v>2.236746241764024</v>
      </c>
      <c r="M86" s="1">
        <f t="shared" si="12"/>
        <v>2.4852736019600266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I37"/>
  <sheetViews>
    <sheetView workbookViewId="0">
      <selection activeCell="F35" sqref="F35"/>
    </sheetView>
  </sheetViews>
  <sheetFormatPr baseColWidth="10" defaultRowHeight="16" x14ac:dyDescent="0.2"/>
  <cols>
    <col min="2" max="2" width="12.33203125" customWidth="1"/>
    <col min="8" max="8" width="14.5" customWidth="1"/>
  </cols>
  <sheetData>
    <row r="4" spans="2:8" x14ac:dyDescent="0.2">
      <c r="F4" t="s">
        <v>782</v>
      </c>
    </row>
    <row r="5" spans="2:8" x14ac:dyDescent="0.2">
      <c r="B5" t="s">
        <v>734</v>
      </c>
      <c r="C5">
        <v>0.78</v>
      </c>
      <c r="F5" t="s">
        <v>748</v>
      </c>
      <c r="G5">
        <v>0.79</v>
      </c>
      <c r="H5" t="s">
        <v>783</v>
      </c>
    </row>
    <row r="6" spans="2:8" x14ac:dyDescent="0.2">
      <c r="B6" t="s">
        <v>735</v>
      </c>
      <c r="C6">
        <v>0.20899999999999999</v>
      </c>
      <c r="D6" s="75">
        <f>C6*D$10</f>
        <v>0.95000000000000007</v>
      </c>
      <c r="F6" t="s">
        <v>749</v>
      </c>
      <c r="G6">
        <v>0.21</v>
      </c>
      <c r="H6" t="s">
        <v>765</v>
      </c>
    </row>
    <row r="7" spans="2:8" x14ac:dyDescent="0.2">
      <c r="B7" t="s">
        <v>736</v>
      </c>
      <c r="C7">
        <v>8.9999999999999993E-3</v>
      </c>
      <c r="D7" s="75">
        <f t="shared" ref="D7:D8" si="0">C7*D$10</f>
        <v>4.0909090909090909E-2</v>
      </c>
    </row>
    <row r="8" spans="2:8" x14ac:dyDescent="0.2">
      <c r="B8" t="s">
        <v>737</v>
      </c>
      <c r="C8">
        <v>2E-3</v>
      </c>
      <c r="D8" s="75">
        <f t="shared" si="0"/>
        <v>9.0909090909090922E-3</v>
      </c>
      <c r="G8" s="76">
        <f>C6*D6</f>
        <v>0.19855</v>
      </c>
      <c r="H8" t="s">
        <v>766</v>
      </c>
    </row>
    <row r="9" spans="2:8" x14ac:dyDescent="0.2">
      <c r="C9">
        <f>SUM(C5:C8)</f>
        <v>1</v>
      </c>
      <c r="D9">
        <f>SUM(C6:C8)</f>
        <v>0.22</v>
      </c>
      <c r="G9" s="76">
        <f>G6-G8</f>
        <v>1.1449999999999988E-2</v>
      </c>
      <c r="H9" t="s">
        <v>767</v>
      </c>
    </row>
    <row r="10" spans="2:8" x14ac:dyDescent="0.2">
      <c r="D10" s="1">
        <f>C9/D9</f>
        <v>4.5454545454545459</v>
      </c>
      <c r="E10" t="s">
        <v>752</v>
      </c>
    </row>
    <row r="13" spans="2:8" x14ac:dyDescent="0.2">
      <c r="B13" t="s">
        <v>757</v>
      </c>
      <c r="C13">
        <v>22</v>
      </c>
      <c r="D13" t="s">
        <v>740</v>
      </c>
      <c r="E13" t="s">
        <v>758</v>
      </c>
    </row>
    <row r="14" spans="2:8" x14ac:dyDescent="0.2">
      <c r="B14" t="s">
        <v>741</v>
      </c>
      <c r="C14">
        <v>0.72</v>
      </c>
      <c r="E14" t="s">
        <v>759</v>
      </c>
    </row>
    <row r="15" spans="2:8" x14ac:dyDescent="0.2">
      <c r="B15" t="s">
        <v>742</v>
      </c>
      <c r="C15">
        <f>C13*C14</f>
        <v>15.84</v>
      </c>
      <c r="D15" t="s">
        <v>740</v>
      </c>
      <c r="E15" t="s">
        <v>753</v>
      </c>
    </row>
    <row r="17" spans="2:9" x14ac:dyDescent="0.2">
      <c r="B17" t="s">
        <v>743</v>
      </c>
      <c r="C17">
        <v>1.8</v>
      </c>
      <c r="D17" t="s">
        <v>5</v>
      </c>
    </row>
    <row r="18" spans="2:9" x14ac:dyDescent="0.2">
      <c r="B18" t="s">
        <v>744</v>
      </c>
      <c r="C18">
        <f>C15*C17</f>
        <v>28.512</v>
      </c>
      <c r="D18" t="s">
        <v>355</v>
      </c>
      <c r="E18" t="s">
        <v>754</v>
      </c>
    </row>
    <row r="20" spans="2:9" x14ac:dyDescent="0.2">
      <c r="B20" t="s">
        <v>746</v>
      </c>
      <c r="C20">
        <v>20</v>
      </c>
      <c r="D20" t="s">
        <v>17</v>
      </c>
    </row>
    <row r="21" spans="2:9" x14ac:dyDescent="0.2">
      <c r="B21" t="s">
        <v>747</v>
      </c>
      <c r="C21">
        <v>0.6</v>
      </c>
      <c r="E21" t="s">
        <v>755</v>
      </c>
    </row>
    <row r="22" spans="2:9" x14ac:dyDescent="0.2">
      <c r="B22" t="s">
        <v>745</v>
      </c>
      <c r="C22" s="2">
        <f>C20/C21/(1-G5)</f>
        <v>158.73015873015876</v>
      </c>
      <c r="D22" t="s">
        <v>17</v>
      </c>
      <c r="E22" t="s">
        <v>763</v>
      </c>
    </row>
    <row r="23" spans="2:9" x14ac:dyDescent="0.2">
      <c r="B23" t="s">
        <v>760</v>
      </c>
      <c r="C23" s="2">
        <f>C22*(C28/60)</f>
        <v>36.09113924050633</v>
      </c>
      <c r="D23" t="s">
        <v>761</v>
      </c>
      <c r="E23" t="s">
        <v>762</v>
      </c>
    </row>
    <row r="24" spans="2:9" x14ac:dyDescent="0.2">
      <c r="B24" t="s">
        <v>775</v>
      </c>
      <c r="C24" s="2">
        <f>C20*(C28/60)</f>
        <v>4.5474835443037964</v>
      </c>
      <c r="D24" t="s">
        <v>355</v>
      </c>
      <c r="E24" t="s">
        <v>781</v>
      </c>
    </row>
    <row r="25" spans="2:9" x14ac:dyDescent="0.2">
      <c r="B25" t="s">
        <v>776</v>
      </c>
      <c r="C25" s="2">
        <f>C24/C21-C24</f>
        <v>3.0316556962025309</v>
      </c>
      <c r="D25" t="s">
        <v>355</v>
      </c>
      <c r="E25" t="s">
        <v>780</v>
      </c>
      <c r="I25" t="s">
        <v>784</v>
      </c>
    </row>
    <row r="26" spans="2:9" x14ac:dyDescent="0.2">
      <c r="C26" s="2"/>
    </row>
    <row r="27" spans="2:9" x14ac:dyDescent="0.2">
      <c r="B27" t="s">
        <v>750</v>
      </c>
      <c r="C27" s="2">
        <f>C22*G5</f>
        <v>125.39682539682543</v>
      </c>
      <c r="D27" t="s">
        <v>17</v>
      </c>
      <c r="E27" t="s">
        <v>769</v>
      </c>
    </row>
    <row r="28" spans="2:9" x14ac:dyDescent="0.2">
      <c r="B28" t="s">
        <v>751</v>
      </c>
      <c r="C28" s="2">
        <f>C18/C27*60</f>
        <v>13.642450632911389</v>
      </c>
      <c r="D28" t="s">
        <v>362</v>
      </c>
      <c r="E28" t="s">
        <v>764</v>
      </c>
    </row>
    <row r="31" spans="2:9" x14ac:dyDescent="0.2">
      <c r="B31" t="s">
        <v>756</v>
      </c>
      <c r="C31" s="2">
        <f>C18/(C28/60)</f>
        <v>125.39682539682543</v>
      </c>
      <c r="D31" t="s">
        <v>17</v>
      </c>
      <c r="E31" t="s">
        <v>768</v>
      </c>
    </row>
    <row r="33" spans="2:4" x14ac:dyDescent="0.2">
      <c r="B33" t="s">
        <v>777</v>
      </c>
      <c r="C33" s="2">
        <f>C23-C18</f>
        <v>7.5791392405063291</v>
      </c>
      <c r="D33" t="s">
        <v>17</v>
      </c>
    </row>
    <row r="34" spans="2:4" x14ac:dyDescent="0.2">
      <c r="B34" t="s">
        <v>778</v>
      </c>
      <c r="C34" s="2">
        <f>C33*C21</f>
        <v>4.5474835443037973</v>
      </c>
      <c r="D34" t="s">
        <v>17</v>
      </c>
    </row>
    <row r="35" spans="2:4" x14ac:dyDescent="0.2">
      <c r="B35" t="s">
        <v>779</v>
      </c>
      <c r="C35" s="2">
        <f>C33-C34</f>
        <v>3.0316556962025318</v>
      </c>
      <c r="D35" t="s">
        <v>17</v>
      </c>
    </row>
    <row r="37" spans="2:4" x14ac:dyDescent="0.2">
      <c r="B37" t="s">
        <v>827</v>
      </c>
      <c r="C37" s="2">
        <f>C33*(60/C28)</f>
        <v>33.333333333333343</v>
      </c>
      <c r="D3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1511-C29E-654E-8993-320416F52514}">
  <dimension ref="B3:K35"/>
  <sheetViews>
    <sheetView workbookViewId="0">
      <selection activeCell="P20" sqref="P20"/>
    </sheetView>
  </sheetViews>
  <sheetFormatPr baseColWidth="10" defaultRowHeight="16" x14ac:dyDescent="0.2"/>
  <cols>
    <col min="2" max="2" width="12.33203125" customWidth="1"/>
    <col min="10" max="10" width="14.5" customWidth="1"/>
  </cols>
  <sheetData>
    <row r="3" spans="2:10" x14ac:dyDescent="0.2">
      <c r="B3" t="s">
        <v>785</v>
      </c>
    </row>
    <row r="4" spans="2:10" x14ac:dyDescent="0.2">
      <c r="H4" t="s">
        <v>782</v>
      </c>
    </row>
    <row r="5" spans="2:10" x14ac:dyDescent="0.2">
      <c r="B5" t="s">
        <v>734</v>
      </c>
      <c r="C5">
        <v>0.78</v>
      </c>
      <c r="D5">
        <v>0.78</v>
      </c>
      <c r="E5">
        <v>0.78</v>
      </c>
      <c r="H5" t="s">
        <v>748</v>
      </c>
      <c r="I5">
        <v>0.79</v>
      </c>
      <c r="J5" t="s">
        <v>783</v>
      </c>
    </row>
    <row r="6" spans="2:10" x14ac:dyDescent="0.2">
      <c r="B6" t="s">
        <v>735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749</v>
      </c>
      <c r="I6">
        <v>0.21</v>
      </c>
      <c r="J6" t="s">
        <v>765</v>
      </c>
    </row>
    <row r="7" spans="2:10" x14ac:dyDescent="0.2">
      <c r="B7" t="s">
        <v>736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 x14ac:dyDescent="0.2">
      <c r="B8" t="s">
        <v>737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766</v>
      </c>
    </row>
    <row r="9" spans="2:10" x14ac:dyDescent="0.2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767</v>
      </c>
    </row>
    <row r="10" spans="2:10" x14ac:dyDescent="0.2">
      <c r="F10" s="1">
        <f>C9/F9</f>
        <v>4.5454545454545459</v>
      </c>
      <c r="G10" t="s">
        <v>752</v>
      </c>
    </row>
    <row r="13" spans="2:10" x14ac:dyDescent="0.2">
      <c r="B13" t="s">
        <v>757</v>
      </c>
      <c r="C13">
        <v>22</v>
      </c>
      <c r="D13">
        <v>22</v>
      </c>
      <c r="E13">
        <v>22</v>
      </c>
      <c r="F13" t="s">
        <v>740</v>
      </c>
      <c r="G13" t="s">
        <v>758</v>
      </c>
    </row>
    <row r="14" spans="2:10" x14ac:dyDescent="0.2">
      <c r="B14" t="s">
        <v>741</v>
      </c>
      <c r="C14">
        <v>0.7</v>
      </c>
      <c r="D14">
        <v>0.7</v>
      </c>
      <c r="E14">
        <v>0.7</v>
      </c>
      <c r="G14" t="s">
        <v>759</v>
      </c>
    </row>
    <row r="15" spans="2:10" x14ac:dyDescent="0.2">
      <c r="B15" t="s">
        <v>742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740</v>
      </c>
      <c r="G15" t="s">
        <v>753</v>
      </c>
    </row>
    <row r="17" spans="2:11" x14ac:dyDescent="0.2">
      <c r="B17" t="s">
        <v>743</v>
      </c>
      <c r="C17">
        <v>1.8</v>
      </c>
      <c r="D17">
        <v>0.5</v>
      </c>
      <c r="E17">
        <v>0.5</v>
      </c>
      <c r="F17" t="s">
        <v>5</v>
      </c>
    </row>
    <row r="18" spans="2:11" x14ac:dyDescent="0.2">
      <c r="B18" t="s">
        <v>744</v>
      </c>
      <c r="C18">
        <f>C15*C17</f>
        <v>27.72</v>
      </c>
      <c r="D18">
        <f>D15*D17</f>
        <v>7.6999999999999993</v>
      </c>
      <c r="E18">
        <f>E15*E17</f>
        <v>7.6999999999999993</v>
      </c>
      <c r="F18" t="s">
        <v>355</v>
      </c>
      <c r="G18" t="s">
        <v>754</v>
      </c>
    </row>
    <row r="20" spans="2:11" x14ac:dyDescent="0.2">
      <c r="B20" t="s">
        <v>746</v>
      </c>
      <c r="C20">
        <v>33.33</v>
      </c>
      <c r="D20">
        <v>20</v>
      </c>
      <c r="E20">
        <v>10</v>
      </c>
      <c r="F20" t="s">
        <v>17</v>
      </c>
    </row>
    <row r="21" spans="2:11" x14ac:dyDescent="0.2">
      <c r="B21" t="s">
        <v>747</v>
      </c>
      <c r="C21">
        <v>1</v>
      </c>
      <c r="D21">
        <v>1</v>
      </c>
      <c r="E21">
        <v>1</v>
      </c>
      <c r="G21" t="s">
        <v>755</v>
      </c>
    </row>
    <row r="22" spans="2:11" x14ac:dyDescent="0.2">
      <c r="B22" t="s">
        <v>745</v>
      </c>
      <c r="C22" s="2">
        <f>C20/C21/(1-$I5)</f>
        <v>158.71428571428572</v>
      </c>
      <c r="D22" s="2">
        <f>D20/D21/(1-$I5)</f>
        <v>95.238095238095255</v>
      </c>
      <c r="E22" s="2">
        <f>E20/E21/(1-$I5)</f>
        <v>47.619047619047628</v>
      </c>
      <c r="F22" t="s">
        <v>17</v>
      </c>
      <c r="G22" t="s">
        <v>763</v>
      </c>
    </row>
    <row r="23" spans="2:11" x14ac:dyDescent="0.2">
      <c r="B23" t="s">
        <v>760</v>
      </c>
      <c r="C23" s="2">
        <f>C22*(C28/60)</f>
        <v>35.088607594936704</v>
      </c>
      <c r="D23" s="2">
        <f>D22*(D28/60)</f>
        <v>9.7468354430379733</v>
      </c>
      <c r="E23" s="2">
        <f>E22*(E28/60)</f>
        <v>9.7468354430379733</v>
      </c>
      <c r="F23" t="s">
        <v>761</v>
      </c>
      <c r="G23" t="s">
        <v>762</v>
      </c>
    </row>
    <row r="24" spans="2:11" x14ac:dyDescent="0.2">
      <c r="B24" t="s">
        <v>775</v>
      </c>
      <c r="C24" s="2">
        <f>C20*(C28/60)</f>
        <v>7.3686075949367078</v>
      </c>
      <c r="D24" s="2">
        <f>D20*(D28/60)</f>
        <v>2.046835443037974</v>
      </c>
      <c r="E24" s="2">
        <f>E20*(E28/60)</f>
        <v>2.046835443037974</v>
      </c>
      <c r="F24" t="s">
        <v>355</v>
      </c>
      <c r="G24" t="s">
        <v>781</v>
      </c>
    </row>
    <row r="25" spans="2:11" x14ac:dyDescent="0.2">
      <c r="B25" t="s">
        <v>776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780</v>
      </c>
      <c r="K25" t="s">
        <v>784</v>
      </c>
    </row>
    <row r="26" spans="2:11" x14ac:dyDescent="0.2">
      <c r="C26" s="2"/>
      <c r="D26" s="2"/>
      <c r="E26" s="2"/>
    </row>
    <row r="27" spans="2:11" x14ac:dyDescent="0.2">
      <c r="B27" t="s">
        <v>750</v>
      </c>
      <c r="C27" s="2">
        <f>C22*$I5</f>
        <v>125.38428571428572</v>
      </c>
      <c r="D27" s="2">
        <f>D22*$I5</f>
        <v>75.238095238095255</v>
      </c>
      <c r="E27" s="2">
        <f>E22*$I5</f>
        <v>37.619047619047628</v>
      </c>
      <c r="F27" t="s">
        <v>17</v>
      </c>
      <c r="G27" t="s">
        <v>769</v>
      </c>
    </row>
    <row r="28" spans="2:11" x14ac:dyDescent="0.2">
      <c r="B28" t="s">
        <v>751</v>
      </c>
      <c r="C28" s="2">
        <f>C18/C27*60</f>
        <v>13.264820152901365</v>
      </c>
      <c r="D28" s="2">
        <f>D18/D27*60</f>
        <v>6.1405063291139221</v>
      </c>
      <c r="E28" s="2">
        <f>E18/E27*60</f>
        <v>12.281012658227844</v>
      </c>
      <c r="F28" t="s">
        <v>362</v>
      </c>
      <c r="G28" t="s">
        <v>764</v>
      </c>
    </row>
    <row r="31" spans="2:11" x14ac:dyDescent="0.2">
      <c r="B31" t="s">
        <v>756</v>
      </c>
      <c r="C31" s="2">
        <f>C18/(C28/60)</f>
        <v>125.38428571428572</v>
      </c>
      <c r="D31" s="2">
        <f>D18/(D28/60)</f>
        <v>75.238095238095255</v>
      </c>
      <c r="E31" s="2">
        <f>E18/(E28/60)</f>
        <v>37.619047619047628</v>
      </c>
      <c r="F31" t="s">
        <v>17</v>
      </c>
      <c r="G31" t="s">
        <v>768</v>
      </c>
    </row>
    <row r="33" spans="3:6" x14ac:dyDescent="0.2">
      <c r="C33" s="2">
        <f>C23-C18</f>
        <v>7.3686075949367051</v>
      </c>
      <c r="D33" s="2">
        <f>D23-D18</f>
        <v>2.046835443037974</v>
      </c>
      <c r="E33" s="2">
        <f>E23-E18</f>
        <v>2.046835443037974</v>
      </c>
      <c r="F33" t="s">
        <v>777</v>
      </c>
    </row>
    <row r="34" spans="3:6" x14ac:dyDescent="0.2">
      <c r="C34" s="2">
        <f>C33*C21</f>
        <v>7.3686075949367051</v>
      </c>
      <c r="D34" s="2">
        <f>D33*D21</f>
        <v>2.046835443037974</v>
      </c>
      <c r="E34" s="2">
        <f>E33*E21</f>
        <v>2.046835443037974</v>
      </c>
      <c r="F34" t="s">
        <v>778</v>
      </c>
    </row>
    <row r="35" spans="3:6" x14ac:dyDescent="0.2">
      <c r="C35" s="2">
        <f>C33-C34</f>
        <v>0</v>
      </c>
      <c r="D35" s="2">
        <f>D33-D34</f>
        <v>0</v>
      </c>
      <c r="E35" s="2">
        <f>E33-E34</f>
        <v>0</v>
      </c>
      <c r="F35" t="s">
        <v>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4C10-E1BF-0D47-B37D-C161F481941A}">
  <dimension ref="B3:L35"/>
  <sheetViews>
    <sheetView topLeftCell="A2" workbookViewId="0">
      <selection activeCell="F17" sqref="F17"/>
    </sheetView>
  </sheetViews>
  <sheetFormatPr baseColWidth="10" defaultRowHeight="16" x14ac:dyDescent="0.2"/>
  <cols>
    <col min="2" max="2" width="12.33203125" customWidth="1"/>
    <col min="11" max="11" width="14.5" customWidth="1"/>
  </cols>
  <sheetData>
    <row r="3" spans="2:11" x14ac:dyDescent="0.2">
      <c r="B3" t="s">
        <v>785</v>
      </c>
    </row>
    <row r="4" spans="2:11" x14ac:dyDescent="0.2">
      <c r="I4" t="s">
        <v>782</v>
      </c>
    </row>
    <row r="5" spans="2:11" x14ac:dyDescent="0.2">
      <c r="B5" t="s">
        <v>734</v>
      </c>
      <c r="C5">
        <v>0.78</v>
      </c>
      <c r="D5">
        <v>0.78</v>
      </c>
      <c r="E5">
        <v>0.78</v>
      </c>
      <c r="F5">
        <v>0.78</v>
      </c>
      <c r="I5" t="s">
        <v>748</v>
      </c>
      <c r="J5">
        <v>0.79</v>
      </c>
      <c r="K5" t="s">
        <v>783</v>
      </c>
    </row>
    <row r="6" spans="2:11" x14ac:dyDescent="0.2">
      <c r="B6" t="s">
        <v>735</v>
      </c>
      <c r="C6">
        <v>0.20899999999999999</v>
      </c>
      <c r="D6">
        <v>0.20899999999999999</v>
      </c>
      <c r="E6">
        <v>0.20899999999999999</v>
      </c>
      <c r="F6">
        <v>0.20899999999999999</v>
      </c>
      <c r="G6" s="75">
        <f>C6*G$10</f>
        <v>0.95000000000000007</v>
      </c>
      <c r="I6" t="s">
        <v>749</v>
      </c>
      <c r="J6">
        <v>0.21</v>
      </c>
      <c r="K6" t="s">
        <v>765</v>
      </c>
    </row>
    <row r="7" spans="2:11" x14ac:dyDescent="0.2">
      <c r="B7" t="s">
        <v>736</v>
      </c>
      <c r="C7">
        <v>8.9999999999999993E-3</v>
      </c>
      <c r="D7">
        <v>8.9999999999999993E-3</v>
      </c>
      <c r="E7">
        <v>8.9999999999999993E-3</v>
      </c>
      <c r="F7">
        <v>8.9999999999999993E-3</v>
      </c>
      <c r="G7" s="75">
        <f t="shared" ref="G7:G8" si="0">C7*G$10</f>
        <v>4.0909090909090909E-2</v>
      </c>
    </row>
    <row r="8" spans="2:11" x14ac:dyDescent="0.2">
      <c r="B8" t="s">
        <v>737</v>
      </c>
      <c r="C8">
        <v>2E-3</v>
      </c>
      <c r="D8">
        <v>2E-3</v>
      </c>
      <c r="E8">
        <v>2E-3</v>
      </c>
      <c r="F8">
        <v>2E-3</v>
      </c>
      <c r="G8" s="75">
        <f t="shared" si="0"/>
        <v>9.0909090909090922E-3</v>
      </c>
      <c r="J8" s="76">
        <f>C6*G6</f>
        <v>0.19855</v>
      </c>
      <c r="K8" t="s">
        <v>766</v>
      </c>
    </row>
    <row r="9" spans="2:11" x14ac:dyDescent="0.2">
      <c r="C9">
        <f>SUM(C5:C8)</f>
        <v>1</v>
      </c>
      <c r="D9">
        <f>SUM(D5:D8)</f>
        <v>1</v>
      </c>
      <c r="E9">
        <f>SUM(E5:E8)</f>
        <v>1</v>
      </c>
      <c r="F9">
        <f>SUM(F5:F8)</f>
        <v>1</v>
      </c>
      <c r="G9">
        <f>SUM(C6:C8)</f>
        <v>0.22</v>
      </c>
      <c r="J9" s="76">
        <f>J6-J8</f>
        <v>1.1449999999999988E-2</v>
      </c>
      <c r="K9" t="s">
        <v>767</v>
      </c>
    </row>
    <row r="10" spans="2:11" x14ac:dyDescent="0.2">
      <c r="G10" s="1">
        <f>C9/G9</f>
        <v>4.5454545454545459</v>
      </c>
      <c r="H10" t="s">
        <v>752</v>
      </c>
    </row>
    <row r="13" spans="2:11" x14ac:dyDescent="0.2">
      <c r="B13" t="s">
        <v>757</v>
      </c>
      <c r="C13">
        <v>22</v>
      </c>
      <c r="D13">
        <v>22</v>
      </c>
      <c r="E13">
        <v>22</v>
      </c>
      <c r="F13">
        <v>22</v>
      </c>
      <c r="G13" t="s">
        <v>740</v>
      </c>
      <c r="H13" t="s">
        <v>758</v>
      </c>
    </row>
    <row r="14" spans="2:11" x14ac:dyDescent="0.2">
      <c r="B14" t="s">
        <v>741</v>
      </c>
      <c r="C14">
        <v>0.7</v>
      </c>
      <c r="D14">
        <v>0.7</v>
      </c>
      <c r="E14">
        <v>0.7</v>
      </c>
      <c r="F14">
        <v>0.7</v>
      </c>
      <c r="H14" t="s">
        <v>759</v>
      </c>
    </row>
    <row r="15" spans="2:11" x14ac:dyDescent="0.2">
      <c r="B15" t="s">
        <v>742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>
        <f>F13*F14</f>
        <v>15.399999999999999</v>
      </c>
      <c r="G15" t="s">
        <v>740</v>
      </c>
      <c r="H15" t="s">
        <v>753</v>
      </c>
    </row>
    <row r="17" spans="2:12" x14ac:dyDescent="0.2">
      <c r="B17" t="s">
        <v>743</v>
      </c>
      <c r="C17">
        <v>1.8</v>
      </c>
      <c r="D17">
        <v>0.2</v>
      </c>
      <c r="E17">
        <v>0.1</v>
      </c>
      <c r="F17">
        <v>0.15</v>
      </c>
      <c r="G17" t="s">
        <v>5</v>
      </c>
    </row>
    <row r="18" spans="2:12" x14ac:dyDescent="0.2">
      <c r="B18" t="s">
        <v>744</v>
      </c>
      <c r="C18">
        <f>C15*C17</f>
        <v>27.72</v>
      </c>
      <c r="D18">
        <f>D15*D17</f>
        <v>3.08</v>
      </c>
      <c r="E18">
        <f>E15*E17</f>
        <v>1.54</v>
      </c>
      <c r="F18">
        <f>F15*F17</f>
        <v>2.3099999999999996</v>
      </c>
      <c r="G18" t="s">
        <v>355</v>
      </c>
      <c r="H18" t="s">
        <v>754</v>
      </c>
    </row>
    <row r="20" spans="2:12" x14ac:dyDescent="0.2">
      <c r="B20" t="s">
        <v>746</v>
      </c>
      <c r="C20">
        <v>33.33</v>
      </c>
      <c r="D20">
        <v>10</v>
      </c>
      <c r="E20">
        <v>5</v>
      </c>
      <c r="F20">
        <v>7</v>
      </c>
      <c r="G20" t="s">
        <v>17</v>
      </c>
    </row>
    <row r="21" spans="2:12" x14ac:dyDescent="0.2">
      <c r="B21" t="s">
        <v>747</v>
      </c>
      <c r="C21">
        <v>1</v>
      </c>
      <c r="D21">
        <v>1</v>
      </c>
      <c r="E21">
        <v>1</v>
      </c>
      <c r="F21">
        <v>1</v>
      </c>
      <c r="H21" t="s">
        <v>755</v>
      </c>
    </row>
    <row r="22" spans="2:12" x14ac:dyDescent="0.2">
      <c r="B22" t="s">
        <v>745</v>
      </c>
      <c r="C22" s="2">
        <f>C20/C21/(1-$J5)</f>
        <v>158.71428571428572</v>
      </c>
      <c r="D22" s="2">
        <f>D20/D21/(1-$J5)</f>
        <v>47.619047619047628</v>
      </c>
      <c r="E22" s="2">
        <f>E20/E21/(1-$J5)</f>
        <v>23.809523809523814</v>
      </c>
      <c r="F22" s="2">
        <f>F20/F21/(1-$J5)</f>
        <v>33.333333333333336</v>
      </c>
      <c r="G22" t="s">
        <v>17</v>
      </c>
      <c r="H22" t="s">
        <v>763</v>
      </c>
    </row>
    <row r="23" spans="2:12" x14ac:dyDescent="0.2">
      <c r="B23" t="s">
        <v>760</v>
      </c>
      <c r="C23" s="2">
        <f>C22*(C28/60)</f>
        <v>35.088607594936704</v>
      </c>
      <c r="D23" s="2">
        <f>D22*(D28/60)</f>
        <v>3.8987341772151898</v>
      </c>
      <c r="E23" s="2">
        <f>E22*(E28/60)</f>
        <v>1.9493670886075949</v>
      </c>
      <c r="F23" s="2">
        <f>F22*(F28/60)</f>
        <v>2.924050632911392</v>
      </c>
      <c r="G23" t="s">
        <v>761</v>
      </c>
      <c r="H23" t="s">
        <v>762</v>
      </c>
    </row>
    <row r="24" spans="2:12" x14ac:dyDescent="0.2">
      <c r="B24" t="s">
        <v>775</v>
      </c>
      <c r="C24" s="2">
        <f>C20*(C28/60)</f>
        <v>7.3686075949367078</v>
      </c>
      <c r="D24" s="2">
        <f>D20*(D28/60)</f>
        <v>0.81873417721518971</v>
      </c>
      <c r="E24" s="2">
        <f>E20*(E28/60)</f>
        <v>0.40936708860759485</v>
      </c>
      <c r="F24" s="2">
        <f>F20*(F28/60)</f>
        <v>0.61405063291139228</v>
      </c>
      <c r="G24" t="s">
        <v>355</v>
      </c>
      <c r="H24" t="s">
        <v>781</v>
      </c>
    </row>
    <row r="25" spans="2:12" x14ac:dyDescent="0.2">
      <c r="B25" t="s">
        <v>776</v>
      </c>
      <c r="C25" s="2">
        <f>C24/C21-C24</f>
        <v>0</v>
      </c>
      <c r="D25" s="2">
        <f>D24/D21-D24</f>
        <v>0</v>
      </c>
      <c r="E25" s="2">
        <f>E24/E21-E24</f>
        <v>0</v>
      </c>
      <c r="F25" s="2">
        <f>F24/F21-F24</f>
        <v>0</v>
      </c>
      <c r="G25" t="s">
        <v>355</v>
      </c>
      <c r="H25" t="s">
        <v>780</v>
      </c>
      <c r="L25" t="s">
        <v>784</v>
      </c>
    </row>
    <row r="26" spans="2:12" x14ac:dyDescent="0.2">
      <c r="C26" s="2"/>
      <c r="D26" s="2"/>
      <c r="E26" s="2"/>
      <c r="F26" s="2"/>
    </row>
    <row r="27" spans="2:12" x14ac:dyDescent="0.2">
      <c r="B27" t="s">
        <v>750</v>
      </c>
      <c r="C27" s="2">
        <f>C22*$J5</f>
        <v>125.38428571428572</v>
      </c>
      <c r="D27" s="2">
        <f>D22*$J5</f>
        <v>37.619047619047628</v>
      </c>
      <c r="E27" s="2">
        <f>E22*$J5</f>
        <v>18.809523809523814</v>
      </c>
      <c r="F27" s="2">
        <f>F22*$J5</f>
        <v>26.333333333333336</v>
      </c>
      <c r="G27" t="s">
        <v>17</v>
      </c>
      <c r="H27" t="s">
        <v>769</v>
      </c>
    </row>
    <row r="28" spans="2:12" x14ac:dyDescent="0.2">
      <c r="B28" t="s">
        <v>751</v>
      </c>
      <c r="C28" s="2">
        <f>C18/C27*60</f>
        <v>13.264820152901365</v>
      </c>
      <c r="D28" s="2">
        <f>D18/D27*60</f>
        <v>4.9124050632911382</v>
      </c>
      <c r="E28" s="2">
        <f>E18/E27*60</f>
        <v>4.9124050632911382</v>
      </c>
      <c r="F28" s="2">
        <f>F18/F27*60</f>
        <v>5.2632911392405051</v>
      </c>
      <c r="G28" t="s">
        <v>362</v>
      </c>
      <c r="H28" t="s">
        <v>764</v>
      </c>
    </row>
    <row r="31" spans="2:12" x14ac:dyDescent="0.2">
      <c r="B31" t="s">
        <v>756</v>
      </c>
      <c r="C31" s="2">
        <f>C18/(C28/60)</f>
        <v>125.38428571428572</v>
      </c>
      <c r="D31" s="2">
        <f>D18/(D28/60)</f>
        <v>37.619047619047628</v>
      </c>
      <c r="E31" s="2">
        <f>E18/(E28/60)</f>
        <v>18.809523809523814</v>
      </c>
      <c r="F31" s="2">
        <f>F18/(F28/60)</f>
        <v>26.333333333333336</v>
      </c>
      <c r="G31" t="s">
        <v>17</v>
      </c>
      <c r="H31" t="s">
        <v>768</v>
      </c>
    </row>
    <row r="33" spans="3:7" x14ac:dyDescent="0.2">
      <c r="C33" s="2">
        <f>C23-C18</f>
        <v>7.3686075949367051</v>
      </c>
      <c r="D33" s="2">
        <f>D23-D18</f>
        <v>0.81873417721518971</v>
      </c>
      <c r="E33" s="2">
        <f>E23-E18</f>
        <v>0.40936708860759485</v>
      </c>
      <c r="F33" s="2">
        <f>F23-F18</f>
        <v>0.61405063291139239</v>
      </c>
      <c r="G33" t="s">
        <v>777</v>
      </c>
    </row>
    <row r="34" spans="3:7" x14ac:dyDescent="0.2">
      <c r="C34" s="2">
        <f>C33*C21</f>
        <v>7.3686075949367051</v>
      </c>
      <c r="D34" s="2">
        <f>D33*D21</f>
        <v>0.81873417721518971</v>
      </c>
      <c r="E34" s="2">
        <f>E33*E21</f>
        <v>0.40936708860759485</v>
      </c>
      <c r="F34" s="2">
        <f>F33*F21</f>
        <v>0.61405063291139239</v>
      </c>
      <c r="G34" t="s">
        <v>778</v>
      </c>
    </row>
    <row r="35" spans="3:7" x14ac:dyDescent="0.2">
      <c r="C35" s="2">
        <f>C33-C34</f>
        <v>0</v>
      </c>
      <c r="D35" s="2">
        <f>D33-D34</f>
        <v>0</v>
      </c>
      <c r="E35" s="2">
        <f>E33-E34</f>
        <v>0</v>
      </c>
      <c r="F35" s="2">
        <f>F33-F34</f>
        <v>0</v>
      </c>
      <c r="G35" t="s">
        <v>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AFEC-C5CF-FF49-8E7B-E4151383DB70}">
  <dimension ref="B3:K35"/>
  <sheetViews>
    <sheetView topLeftCell="A2" workbookViewId="0">
      <selection activeCell="D20" sqref="D20"/>
    </sheetView>
  </sheetViews>
  <sheetFormatPr baseColWidth="10" defaultRowHeight="16" x14ac:dyDescent="0.2"/>
  <cols>
    <col min="2" max="2" width="12.33203125" customWidth="1"/>
    <col min="10" max="10" width="14.5" customWidth="1"/>
  </cols>
  <sheetData>
    <row r="3" spans="2:10" x14ac:dyDescent="0.2">
      <c r="B3" t="s">
        <v>785</v>
      </c>
    </row>
    <row r="4" spans="2:10" x14ac:dyDescent="0.2">
      <c r="H4" t="s">
        <v>782</v>
      </c>
    </row>
    <row r="5" spans="2:10" x14ac:dyDescent="0.2">
      <c r="B5" t="s">
        <v>734</v>
      </c>
      <c r="C5">
        <v>0.78</v>
      </c>
      <c r="D5">
        <v>0.78</v>
      </c>
      <c r="E5">
        <v>0.78</v>
      </c>
      <c r="H5" t="s">
        <v>748</v>
      </c>
      <c r="I5">
        <v>0.79</v>
      </c>
      <c r="J5" t="s">
        <v>783</v>
      </c>
    </row>
    <row r="6" spans="2:10" x14ac:dyDescent="0.2">
      <c r="B6" t="s">
        <v>735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749</v>
      </c>
      <c r="I6">
        <v>0.21</v>
      </c>
      <c r="J6" t="s">
        <v>765</v>
      </c>
    </row>
    <row r="7" spans="2:10" x14ac:dyDescent="0.2">
      <c r="B7" t="s">
        <v>736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 x14ac:dyDescent="0.2">
      <c r="B8" t="s">
        <v>737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766</v>
      </c>
    </row>
    <row r="9" spans="2:10" x14ac:dyDescent="0.2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767</v>
      </c>
    </row>
    <row r="10" spans="2:10" x14ac:dyDescent="0.2">
      <c r="F10" s="1">
        <f>C9/F9</f>
        <v>4.5454545454545459</v>
      </c>
      <c r="G10" t="s">
        <v>752</v>
      </c>
    </row>
    <row r="13" spans="2:10" x14ac:dyDescent="0.2">
      <c r="B13" t="s">
        <v>757</v>
      </c>
      <c r="C13">
        <v>22</v>
      </c>
      <c r="D13">
        <v>22</v>
      </c>
      <c r="E13">
        <v>22</v>
      </c>
      <c r="F13" t="s">
        <v>740</v>
      </c>
      <c r="G13" t="s">
        <v>758</v>
      </c>
    </row>
    <row r="14" spans="2:10" x14ac:dyDescent="0.2">
      <c r="B14" t="s">
        <v>741</v>
      </c>
      <c r="C14">
        <v>0.7</v>
      </c>
      <c r="D14">
        <v>0.7</v>
      </c>
      <c r="E14">
        <v>0.7</v>
      </c>
      <c r="G14" t="s">
        <v>759</v>
      </c>
    </row>
    <row r="15" spans="2:10" x14ac:dyDescent="0.2">
      <c r="B15" t="s">
        <v>742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740</v>
      </c>
      <c r="G15" t="s">
        <v>753</v>
      </c>
    </row>
    <row r="17" spans="2:11" x14ac:dyDescent="0.2">
      <c r="B17" t="s">
        <v>743</v>
      </c>
      <c r="C17">
        <v>1.8</v>
      </c>
      <c r="D17">
        <v>10</v>
      </c>
      <c r="E17">
        <v>10</v>
      </c>
      <c r="F17" t="s">
        <v>5</v>
      </c>
    </row>
    <row r="18" spans="2:11" x14ac:dyDescent="0.2">
      <c r="B18" t="s">
        <v>744</v>
      </c>
      <c r="C18">
        <f>C15*C17</f>
        <v>27.72</v>
      </c>
      <c r="D18">
        <f>D15*D17</f>
        <v>154</v>
      </c>
      <c r="E18">
        <f>E15*E17</f>
        <v>154</v>
      </c>
      <c r="F18" t="s">
        <v>355</v>
      </c>
      <c r="G18" t="s">
        <v>754</v>
      </c>
    </row>
    <row r="20" spans="2:11" x14ac:dyDescent="0.2">
      <c r="B20" t="s">
        <v>746</v>
      </c>
      <c r="C20">
        <v>33.33</v>
      </c>
      <c r="D20">
        <v>100</v>
      </c>
      <c r="E20">
        <v>50</v>
      </c>
      <c r="F20" t="s">
        <v>17</v>
      </c>
    </row>
    <row r="21" spans="2:11" x14ac:dyDescent="0.2">
      <c r="B21" t="s">
        <v>747</v>
      </c>
      <c r="C21">
        <v>1</v>
      </c>
      <c r="D21">
        <v>1</v>
      </c>
      <c r="E21">
        <v>1</v>
      </c>
      <c r="G21" t="s">
        <v>755</v>
      </c>
    </row>
    <row r="22" spans="2:11" x14ac:dyDescent="0.2">
      <c r="B22" t="s">
        <v>745</v>
      </c>
      <c r="C22" s="2">
        <f>C20/C21/(1-$I5)</f>
        <v>158.71428571428572</v>
      </c>
      <c r="D22" s="2">
        <f>D20/D21/(1-$I5)</f>
        <v>476.19047619047626</v>
      </c>
      <c r="E22" s="2">
        <f>E20/E21/(1-$I5)</f>
        <v>238.09523809523813</v>
      </c>
      <c r="F22" t="s">
        <v>17</v>
      </c>
      <c r="G22" t="s">
        <v>763</v>
      </c>
    </row>
    <row r="23" spans="2:11" x14ac:dyDescent="0.2">
      <c r="B23" t="s">
        <v>760</v>
      </c>
      <c r="C23" s="2">
        <f>C22*(C28/60)</f>
        <v>35.088607594936704</v>
      </c>
      <c r="D23" s="2">
        <f>D22*(D28/60)</f>
        <v>194.9367088607595</v>
      </c>
      <c r="E23" s="2">
        <f>E22*(E28/60)</f>
        <v>194.9367088607595</v>
      </c>
      <c r="F23" t="s">
        <v>761</v>
      </c>
      <c r="G23" t="s">
        <v>762</v>
      </c>
    </row>
    <row r="24" spans="2:11" x14ac:dyDescent="0.2">
      <c r="B24" t="s">
        <v>775</v>
      </c>
      <c r="C24" s="2">
        <f>C20*(C28/60)</f>
        <v>7.3686075949367078</v>
      </c>
      <c r="D24" s="2">
        <f>D20*(D28/60)</f>
        <v>40.936708860759488</v>
      </c>
      <c r="E24" s="2">
        <f>E20*(E28/60)</f>
        <v>40.936708860759488</v>
      </c>
      <c r="F24" t="s">
        <v>355</v>
      </c>
      <c r="G24" t="s">
        <v>781</v>
      </c>
    </row>
    <row r="25" spans="2:11" x14ac:dyDescent="0.2">
      <c r="B25" t="s">
        <v>776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780</v>
      </c>
      <c r="K25" t="s">
        <v>784</v>
      </c>
    </row>
    <row r="26" spans="2:11" x14ac:dyDescent="0.2">
      <c r="C26" s="2"/>
      <c r="D26" s="2"/>
      <c r="E26" s="2"/>
    </row>
    <row r="27" spans="2:11" x14ac:dyDescent="0.2">
      <c r="B27" t="s">
        <v>750</v>
      </c>
      <c r="C27" s="2">
        <f>C22*$I5</f>
        <v>125.38428571428572</v>
      </c>
      <c r="D27" s="2">
        <f>D22*$I5</f>
        <v>376.19047619047626</v>
      </c>
      <c r="E27" s="2">
        <f>E22*$I5</f>
        <v>188.09523809523813</v>
      </c>
      <c r="F27" t="s">
        <v>17</v>
      </c>
      <c r="G27" t="s">
        <v>769</v>
      </c>
    </row>
    <row r="28" spans="2:11" x14ac:dyDescent="0.2">
      <c r="B28" t="s">
        <v>751</v>
      </c>
      <c r="C28" s="2">
        <f>C18/C27*60</f>
        <v>13.264820152901365</v>
      </c>
      <c r="D28" s="2">
        <f>D18/D27*60</f>
        <v>24.562025316455692</v>
      </c>
      <c r="E28" s="2">
        <f>E18/E27*60</f>
        <v>49.124050632911384</v>
      </c>
      <c r="F28" t="s">
        <v>362</v>
      </c>
      <c r="G28" t="s">
        <v>764</v>
      </c>
    </row>
    <row r="31" spans="2:11" x14ac:dyDescent="0.2">
      <c r="B31" t="s">
        <v>756</v>
      </c>
      <c r="C31" s="2">
        <f>C18/(C28/60)</f>
        <v>125.38428571428572</v>
      </c>
      <c r="D31" s="2">
        <f>D18/(D28/60)</f>
        <v>376.19047619047626</v>
      </c>
      <c r="E31" s="2">
        <f>E18/(E28/60)</f>
        <v>188.09523809523813</v>
      </c>
      <c r="F31" t="s">
        <v>17</v>
      </c>
      <c r="G31" t="s">
        <v>768</v>
      </c>
    </row>
    <row r="33" spans="3:6" x14ac:dyDescent="0.2">
      <c r="C33" s="2">
        <f>C23-C18</f>
        <v>7.3686075949367051</v>
      </c>
      <c r="D33" s="2">
        <f>D23-D18</f>
        <v>40.936708860759495</v>
      </c>
      <c r="E33" s="2">
        <f>E23-E18</f>
        <v>40.936708860759495</v>
      </c>
      <c r="F33" t="s">
        <v>777</v>
      </c>
    </row>
    <row r="34" spans="3:6" x14ac:dyDescent="0.2">
      <c r="C34" s="2">
        <f>C33*C21</f>
        <v>7.3686075949367051</v>
      </c>
      <c r="D34" s="2">
        <f>D33*D21</f>
        <v>40.936708860759495</v>
      </c>
      <c r="E34" s="2">
        <f>E33*E21</f>
        <v>40.936708860759495</v>
      </c>
      <c r="F34" t="s">
        <v>778</v>
      </c>
    </row>
    <row r="35" spans="3:6" x14ac:dyDescent="0.2">
      <c r="C35" s="2">
        <f>C33-C34</f>
        <v>0</v>
      </c>
      <c r="D35" s="2">
        <f>D33-D34</f>
        <v>0</v>
      </c>
      <c r="E35" s="2">
        <f>E33-E34</f>
        <v>0</v>
      </c>
      <c r="F35" t="s">
        <v>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8A5-285A-BE41-9AEE-9F55011C8CBA}">
  <dimension ref="C5:G23"/>
  <sheetViews>
    <sheetView workbookViewId="0">
      <selection activeCell="I20" sqref="I20"/>
    </sheetView>
  </sheetViews>
  <sheetFormatPr baseColWidth="10" defaultRowHeight="16" x14ac:dyDescent="0.2"/>
  <cols>
    <col min="3" max="3" width="19.1640625" customWidth="1"/>
    <col min="4" max="4" width="12.5" style="3" customWidth="1"/>
    <col min="5" max="5" width="12.6640625" style="3" customWidth="1"/>
    <col min="6" max="6" width="12.33203125" style="3" customWidth="1"/>
    <col min="7" max="7" width="13.83203125" style="3" customWidth="1"/>
  </cols>
  <sheetData>
    <row r="5" spans="3:7" x14ac:dyDescent="0.2">
      <c r="D5" s="3" t="s">
        <v>797</v>
      </c>
      <c r="E5" s="3" t="s">
        <v>795</v>
      </c>
      <c r="F5" s="3" t="s">
        <v>798</v>
      </c>
      <c r="G5" s="3" t="s">
        <v>808</v>
      </c>
    </row>
    <row r="6" spans="3:7" x14ac:dyDescent="0.2">
      <c r="C6" t="s">
        <v>813</v>
      </c>
      <c r="D6" s="77" t="s">
        <v>815</v>
      </c>
      <c r="E6" s="77" t="s">
        <v>816</v>
      </c>
      <c r="F6" s="77" t="s">
        <v>817</v>
      </c>
      <c r="G6" s="77" t="s">
        <v>814</v>
      </c>
    </row>
    <row r="7" spans="3:7" x14ac:dyDescent="0.2">
      <c r="C7" t="s">
        <v>796</v>
      </c>
      <c r="D7" s="3">
        <v>10</v>
      </c>
      <c r="E7" s="3" t="s">
        <v>810</v>
      </c>
      <c r="F7" s="3" t="s">
        <v>809</v>
      </c>
      <c r="G7" s="3">
        <v>100</v>
      </c>
    </row>
    <row r="8" spans="3:7" x14ac:dyDescent="0.2">
      <c r="C8" t="s">
        <v>794</v>
      </c>
      <c r="D8" s="3" t="s">
        <v>799</v>
      </c>
      <c r="E8" s="3" t="s">
        <v>800</v>
      </c>
      <c r="F8" s="3" t="s">
        <v>806</v>
      </c>
      <c r="G8" s="3" t="s">
        <v>807</v>
      </c>
    </row>
    <row r="9" spans="3:7" x14ac:dyDescent="0.2">
      <c r="C9" t="s">
        <v>793</v>
      </c>
      <c r="D9" s="3" t="s">
        <v>803</v>
      </c>
      <c r="E9" s="3" t="s">
        <v>802</v>
      </c>
      <c r="F9" s="3" t="s">
        <v>805</v>
      </c>
      <c r="G9" s="3" t="s">
        <v>801</v>
      </c>
    </row>
    <row r="11" spans="3:7" x14ac:dyDescent="0.2">
      <c r="C11" t="s">
        <v>791</v>
      </c>
      <c r="D11" s="3">
        <v>50</v>
      </c>
      <c r="E11" s="3">
        <v>130</v>
      </c>
      <c r="F11" s="3">
        <v>260</v>
      </c>
      <c r="G11" s="3">
        <v>800</v>
      </c>
    </row>
    <row r="12" spans="3:7" x14ac:dyDescent="0.2">
      <c r="C12" t="s">
        <v>792</v>
      </c>
      <c r="D12" s="3">
        <v>50</v>
      </c>
      <c r="E12" s="3">
        <v>110</v>
      </c>
      <c r="F12" s="3">
        <v>130</v>
      </c>
      <c r="G12" s="3">
        <v>260</v>
      </c>
    </row>
    <row r="13" spans="3:7" x14ac:dyDescent="0.2">
      <c r="C13" t="s">
        <v>793</v>
      </c>
      <c r="D13" s="3">
        <v>50</v>
      </c>
      <c r="E13" s="3">
        <v>160</v>
      </c>
      <c r="F13" s="3">
        <v>220</v>
      </c>
      <c r="G13" s="3">
        <v>500</v>
      </c>
    </row>
    <row r="14" spans="3:7" x14ac:dyDescent="0.2">
      <c r="C14" t="s">
        <v>794</v>
      </c>
      <c r="D14" s="3">
        <v>30</v>
      </c>
      <c r="E14" s="3">
        <v>90</v>
      </c>
      <c r="F14" s="3">
        <v>150</v>
      </c>
      <c r="G14" s="3">
        <v>450</v>
      </c>
    </row>
    <row r="16" spans="3:7" x14ac:dyDescent="0.2">
      <c r="D16" s="3">
        <f>SUM(D11:D15)</f>
        <v>180</v>
      </c>
      <c r="E16" s="3">
        <f t="shared" ref="E16:G16" si="0">SUM(E11:E15)</f>
        <v>490</v>
      </c>
      <c r="F16" s="3">
        <f t="shared" si="0"/>
        <v>760</v>
      </c>
      <c r="G16" s="3">
        <f t="shared" si="0"/>
        <v>2010</v>
      </c>
    </row>
    <row r="17" spans="3:7" x14ac:dyDescent="0.2">
      <c r="C17" t="s">
        <v>804</v>
      </c>
      <c r="D17" s="3">
        <v>200</v>
      </c>
      <c r="E17" s="3">
        <v>500</v>
      </c>
      <c r="F17" s="3">
        <v>800</v>
      </c>
      <c r="G17" s="3">
        <v>1000</v>
      </c>
    </row>
    <row r="18" spans="3:7" x14ac:dyDescent="0.2">
      <c r="D18" s="3">
        <v>2</v>
      </c>
      <c r="E18" s="3">
        <v>2</v>
      </c>
      <c r="F18" s="3">
        <v>2</v>
      </c>
      <c r="G18" s="3">
        <v>2</v>
      </c>
    </row>
    <row r="19" spans="3:7" x14ac:dyDescent="0.2">
      <c r="D19" s="3">
        <f>(D16+D17) * D18</f>
        <v>760</v>
      </c>
      <c r="E19" s="3">
        <f t="shared" ref="E19:G19" si="1">(E16+E17) * E18</f>
        <v>1980</v>
      </c>
      <c r="F19" s="3">
        <f t="shared" si="1"/>
        <v>3120</v>
      </c>
      <c r="G19" s="3">
        <f t="shared" si="1"/>
        <v>6020</v>
      </c>
    </row>
    <row r="22" spans="3:7" x14ac:dyDescent="0.2">
      <c r="C22" t="s">
        <v>811</v>
      </c>
      <c r="D22" s="3">
        <v>40</v>
      </c>
      <c r="E22" s="3">
        <v>100</v>
      </c>
      <c r="F22" s="3">
        <v>200</v>
      </c>
      <c r="G22" s="3">
        <v>350</v>
      </c>
    </row>
    <row r="23" spans="3:7" x14ac:dyDescent="0.2">
      <c r="C23" t="s">
        <v>812</v>
      </c>
      <c r="D23" s="3">
        <v>40</v>
      </c>
      <c r="E23" s="3">
        <v>48</v>
      </c>
      <c r="F23" s="3">
        <v>100</v>
      </c>
      <c r="G23" s="3">
        <v>200</v>
      </c>
    </row>
  </sheetData>
  <pageMargins left="0.7" right="0.7" top="0.75" bottom="0.75" header="0.3" footer="0.3"/>
  <ignoredErrors>
    <ignoredError sqref="D6 G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 x14ac:dyDescent="0.2"/>
  <sheetData>
    <row r="8" spans="2:4" x14ac:dyDescent="0.2">
      <c r="B8" t="s">
        <v>379</v>
      </c>
      <c r="C8">
        <v>200</v>
      </c>
      <c r="D8" t="s">
        <v>374</v>
      </c>
    </row>
    <row r="9" spans="2:4" x14ac:dyDescent="0.2">
      <c r="B9" t="s">
        <v>380</v>
      </c>
      <c r="C9">
        <v>2.5</v>
      </c>
      <c r="D9" t="s">
        <v>375</v>
      </c>
    </row>
    <row r="10" spans="2:4" x14ac:dyDescent="0.2">
      <c r="B10" t="s">
        <v>382</v>
      </c>
      <c r="C10">
        <v>0.55000000000000004</v>
      </c>
      <c r="D10" t="s">
        <v>377</v>
      </c>
    </row>
    <row r="11" spans="2:4" x14ac:dyDescent="0.2">
      <c r="B11" t="s">
        <v>2</v>
      </c>
      <c r="C11">
        <v>400</v>
      </c>
      <c r="D11" t="s">
        <v>377</v>
      </c>
    </row>
    <row r="13" spans="2:4" x14ac:dyDescent="0.2">
      <c r="B13" t="s">
        <v>381</v>
      </c>
      <c r="C13" s="2">
        <f>C8/C9</f>
        <v>80</v>
      </c>
      <c r="D13" t="s">
        <v>376</v>
      </c>
    </row>
    <row r="14" spans="2:4" x14ac:dyDescent="0.2">
      <c r="B14" t="s">
        <v>383</v>
      </c>
      <c r="C14" s="22">
        <f>PI()*C10^2</f>
        <v>0.9503317777109126</v>
      </c>
      <c r="D14" t="s">
        <v>378</v>
      </c>
    </row>
    <row r="15" spans="2:4" x14ac:dyDescent="0.2">
      <c r="B15" t="s">
        <v>384</v>
      </c>
      <c r="C15" s="29">
        <f>(C13*1000/C14)/60</f>
        <v>1403.018782077314</v>
      </c>
      <c r="D15" t="s">
        <v>385</v>
      </c>
    </row>
    <row r="16" spans="2:4" x14ac:dyDescent="0.2">
      <c r="B16" t="s">
        <v>386</v>
      </c>
      <c r="C16" s="1">
        <f>C11/C15</f>
        <v>0.28509953331327381</v>
      </c>
      <c r="D16" t="s">
        <v>362</v>
      </c>
    </row>
    <row r="17" spans="2:5" x14ac:dyDescent="0.2">
      <c r="B17" t="s">
        <v>387</v>
      </c>
      <c r="C17" s="29">
        <f>2*PI()*C10*C11</f>
        <v>1382.3007675795091</v>
      </c>
      <c r="D17" t="s">
        <v>378</v>
      </c>
    </row>
    <row r="19" spans="2:5" x14ac:dyDescent="0.2">
      <c r="B19" t="s">
        <v>391</v>
      </c>
      <c r="C19">
        <f>C9*1.1644</f>
        <v>2.9110000000000005</v>
      </c>
      <c r="D19" t="s">
        <v>4</v>
      </c>
    </row>
    <row r="20" spans="2:5" x14ac:dyDescent="0.2">
      <c r="B20" t="s">
        <v>390</v>
      </c>
      <c r="C20" s="32">
        <v>1.9830000000000002E-5</v>
      </c>
      <c r="D20" t="s">
        <v>393</v>
      </c>
      <c r="E20" s="32"/>
    </row>
    <row r="21" spans="2:5" x14ac:dyDescent="0.2">
      <c r="B21" t="s">
        <v>388</v>
      </c>
      <c r="C21" s="31">
        <f>C20/C19</f>
        <v>6.8120920645826168E-6</v>
      </c>
      <c r="D21" t="s">
        <v>394</v>
      </c>
      <c r="E21" t="s">
        <v>395</v>
      </c>
    </row>
    <row r="22" spans="2:5" x14ac:dyDescent="0.2">
      <c r="B22" t="s">
        <v>355</v>
      </c>
      <c r="C22">
        <f>C10/100</f>
        <v>5.5000000000000005E-3</v>
      </c>
      <c r="D22" t="s">
        <v>392</v>
      </c>
    </row>
    <row r="23" spans="2:5" x14ac:dyDescent="0.2">
      <c r="B23" t="s">
        <v>389</v>
      </c>
      <c r="C23" s="33">
        <f>(C10/100) * (C15/100) * C21</f>
        <v>5.2566212115170818E-7</v>
      </c>
    </row>
    <row r="24" spans="2:5" x14ac:dyDescent="0.2">
      <c r="C24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6"/>
  <sheetViews>
    <sheetView workbookViewId="0">
      <selection activeCell="F27" sqref="F27"/>
    </sheetView>
  </sheetViews>
  <sheetFormatPr baseColWidth="10" defaultRowHeight="16" x14ac:dyDescent="0.2"/>
  <sheetData>
    <row r="5" spans="3:4" x14ac:dyDescent="0.2">
      <c r="C5" t="s">
        <v>232</v>
      </c>
    </row>
    <row r="6" spans="3:4" x14ac:dyDescent="0.2">
      <c r="C6" t="s">
        <v>233</v>
      </c>
    </row>
    <row r="7" spans="3:4" x14ac:dyDescent="0.2">
      <c r="C7" t="s">
        <v>234</v>
      </c>
    </row>
    <row r="11" spans="3:4" x14ac:dyDescent="0.2">
      <c r="C11">
        <v>28.317</v>
      </c>
    </row>
    <row r="12" spans="3:4" x14ac:dyDescent="0.2">
      <c r="C12" t="s">
        <v>236</v>
      </c>
      <c r="D12">
        <v>20</v>
      </c>
    </row>
    <row r="13" spans="3:4" x14ac:dyDescent="0.2">
      <c r="C13" t="s">
        <v>235</v>
      </c>
      <c r="D13" s="1">
        <f>D12/C11</f>
        <v>0.70628950806935764</v>
      </c>
    </row>
    <row r="15" spans="3:4" x14ac:dyDescent="0.2">
      <c r="C15" t="s">
        <v>237</v>
      </c>
      <c r="D15">
        <v>200</v>
      </c>
    </row>
    <row r="16" spans="3:4" x14ac:dyDescent="0.2">
      <c r="C16" t="s">
        <v>238</v>
      </c>
      <c r="D16" s="2">
        <f>D13*D15/3</f>
        <v>47.085967204623842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Volume</vt:lpstr>
      <vt:lpstr>isotherm</vt:lpstr>
      <vt:lpstr>Model-O24U</vt:lpstr>
      <vt:lpstr>Model-tester</vt:lpstr>
      <vt:lpstr>model-puffer</vt:lpstr>
      <vt:lpstr>Model-VPSA</vt:lpstr>
      <vt:lpstr>BOMcost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  <vt:lpstr>Compressor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2021-10-25T05:11:22Z</dcterms:modified>
</cp:coreProperties>
</file>