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92033E8C-7E76-2344-9D2B-48DA65DBFB7B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4" i="2" l="1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16" i="2" s="1"/>
  <c r="K122" i="2" s="1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AB35" i="2" l="1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O12" i="2" l="1"/>
  <c r="O13" i="2" s="1"/>
  <c r="B13" i="2"/>
  <c r="B26" i="2" s="1"/>
  <c r="B32" i="2" s="1"/>
  <c r="AC41" i="2"/>
  <c r="AB41" i="2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O14" i="2" l="1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3" i="2"/>
</calcChain>
</file>

<file path=xl/sharedStrings.xml><?xml version="1.0" encoding="utf-8"?>
<sst xmlns="http://schemas.openxmlformats.org/spreadsheetml/2006/main" count="712" uniqueCount="330">
  <si>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</si>
  <si>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</si>
  <si>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</si>
  <si>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</si>
  <si>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</si>
  <si>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</si>
  <si>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</si>
  <si>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</si>
  <si>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</si>
  <si>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</si>
  <si>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</si>
  <si>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</si>
  <si>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</si>
  <si>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</si>
  <si>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</si>
  <si>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</si>
  <si>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</si>
  <si>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</si>
  <si>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</si>
  <si>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</si>
  <si>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</si>
  <si>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</si>
  <si>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</si>
  <si>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</si>
  <si>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</si>
  <si>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</si>
  <si>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</si>
  <si>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</si>
  <si>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</si>
  <si>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</si>
  <si>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</si>
  <si>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</si>
  <si>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</si>
  <si>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</si>
  <si>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</si>
  <si>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</si>
  <si>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</si>
  <si>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</si>
  <si>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</si>
  <si>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</si>
  <si>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</si>
  <si>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</si>
  <si>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</si>
  <si>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</si>
  <si>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</si>
  <si>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</si>
  <si>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</si>
  <si>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</si>
  <si>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</si>
  <si>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</si>
  <si>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</si>
  <si>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</si>
  <si>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</si>
  <si>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</si>
  <si>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</si>
  <si>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</si>
  <si>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</si>
  <si>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</si>
  <si>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</si>
  <si>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</si>
  <si>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</si>
  <si>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</si>
  <si>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</si>
  <si>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</si>
  <si>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</si>
  <si>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</si>
  <si>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</si>
  <si>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</si>
  <si>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</si>
  <si>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</si>
  <si>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</si>
  <si>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</si>
  <si>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</si>
  <si>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</si>
  <si>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</si>
  <si>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</si>
  <si>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</si>
  <si>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</si>
  <si>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</si>
  <si>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</si>
  <si>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</si>
  <si>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</si>
  <si>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</si>
  <si>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</si>
  <si>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</si>
  <si>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</si>
  <si>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</si>
  <si>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</si>
  <si>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</si>
  <si>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</si>
  <si>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</si>
  <si>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</si>
  <si>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</si>
  <si>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</si>
  <si>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</si>
  <si>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</si>
  <si>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</si>
  <si>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</si>
  <si>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</si>
  <si>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</si>
  <si>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</si>
  <si>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</si>
  <si>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</si>
  <si>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</si>
  <si>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</si>
  <si>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</si>
  <si>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</si>
  <si>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</si>
  <si>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</si>
  <si>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</si>
  <si>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</si>
  <si>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</si>
  <si>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</si>
  <si>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</si>
  <si>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</si>
  <si>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</si>
  <si>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</si>
  <si>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</si>
  <si>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</si>
  <si>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</si>
  <si>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</si>
  <si>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</si>
  <si>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</si>
  <si>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</si>
  <si>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</si>
  <si>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</si>
  <si>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</si>
  <si>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</si>
  <si>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</si>
  <si>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</si>
  <si>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</si>
  <si>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</si>
  <si>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</si>
  <si>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</si>
  <si>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</si>
  <si>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</si>
  <si>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</si>
  <si>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</si>
  <si>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</si>
  <si>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</si>
  <si>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</si>
  <si>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</si>
  <si>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</si>
  <si>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</si>
  <si>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</si>
  <si>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</si>
  <si>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</si>
  <si>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</si>
  <si>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</si>
  <si>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</si>
  <si>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</si>
  <si>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</si>
  <si>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</si>
  <si>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</si>
  <si>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</si>
  <si>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</si>
  <si>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</si>
  <si>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</si>
  <si>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</si>
  <si>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</si>
  <si>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</si>
  <si>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</si>
  <si>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</si>
  <si>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</si>
  <si>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</si>
  <si>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</si>
  <si>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</si>
  <si>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</si>
  <si>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</si>
  <si>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</si>
  <si>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</si>
  <si>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</si>
  <si>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</si>
  <si>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</si>
  <si>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</si>
  <si>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</si>
  <si>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</si>
  <si>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</si>
  <si>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</si>
  <si>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</si>
  <si>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</si>
  <si>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</si>
  <si>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</si>
  <si>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</si>
  <si>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</si>
  <si>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</si>
  <si>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</si>
  <si>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</si>
  <si>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</si>
  <si>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</si>
  <si>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</si>
  <si>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</si>
  <si>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</si>
  <si>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</si>
  <si>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</si>
  <si>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</si>
  <si>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</si>
  <si>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</si>
  <si>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</si>
  <si>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</si>
  <si>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</si>
  <si>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</si>
  <si>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</si>
  <si>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</si>
  <si>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</si>
  <si>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</si>
  <si>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</si>
  <si>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</si>
  <si>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</si>
  <si>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</si>
  <si>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</si>
  <si>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</si>
  <si>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</si>
  <si>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</si>
  <si>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</si>
  <si>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</si>
  <si>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</si>
  <si>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</si>
  <si>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</si>
  <si>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</si>
  <si>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</si>
  <si>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</si>
  <si>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</si>
  <si>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</si>
  <si>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</si>
  <si>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</si>
  <si>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</si>
  <si>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</si>
  <si>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</si>
  <si>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</si>
  <si>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</si>
  <si>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</si>
  <si>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</si>
  <si>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</si>
  <si>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</si>
  <si>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</si>
  <si>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</si>
  <si>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</si>
  <si>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</si>
  <si>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</si>
  <si>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</si>
  <si>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</si>
  <si>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</si>
  <si>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</si>
  <si>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</si>
  <si>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</si>
  <si>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</si>
  <si>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</si>
  <si>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</si>
  <si>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</si>
  <si>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</si>
  <si>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</si>
  <si>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</si>
  <si>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</si>
  <si>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</si>
  <si>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</si>
  <si>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</si>
  <si>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</si>
  <si>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</si>
  <si>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</si>
  <si>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</si>
  <si>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</si>
  <si>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</si>
  <si>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</si>
  <si>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</si>
  <si>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</si>
  <si>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</si>
  <si>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</si>
  <si>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</si>
  <si>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</si>
  <si>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</si>
  <si>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</si>
  <si>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</si>
  <si>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</si>
  <si>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</si>
  <si>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</si>
  <si>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</si>
  <si>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</si>
  <si>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</si>
  <si>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</si>
  <si>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</si>
  <si>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</si>
  <si>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</si>
  <si>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</si>
  <si>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</si>
  <si>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</si>
  <si>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</si>
  <si>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</si>
  <si>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</si>
  <si>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</si>
  <si>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</si>
  <si>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</si>
  <si>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</si>
  <si>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</si>
  <si>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</si>
  <si>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</si>
  <si>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</si>
  <si>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</si>
  <si>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</si>
  <si>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</si>
  <si>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</si>
  <si>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</si>
  <si>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</si>
  <si>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</si>
  <si>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</si>
  <si>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</si>
  <si>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</si>
  <si>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</si>
  <si>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</si>
  <si>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</si>
  <si>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</si>
  <si>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</si>
  <si>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</si>
  <si>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</si>
  <si>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</si>
  <si>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</si>
  <si>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</si>
  <si>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</si>
  <si>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</si>
  <si>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</si>
  <si>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</si>
  <si>
    <t>Toroids</t>
  </si>
  <si>
    <t>Measurements on actual sizes</t>
  </si>
  <si>
    <t>Ae cm^2</t>
  </si>
  <si>
    <t>odin</t>
  </si>
  <si>
    <t>sec fill</t>
  </si>
  <si>
    <t>1=rectangular</t>
  </si>
  <si>
    <t xml:space="preserve">m </t>
  </si>
  <si>
    <t>ft</t>
  </si>
  <si>
    <t>dia bobbin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</si>
</sst>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2" fillId="0" borderId="0" xfId="0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" sqref="H2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F2">
        <f>1.1*10^-11</f>
        <v>1.1000000000000001E-11</v>
      </c>
      <c r="G2" t="s">
        <v>280</v>
      </c>
      <c r="H2" t="s">
        <v>310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308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309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3" t="s">
        <v>165</v>
      </c>
      <c r="M7" s="9" t="s">
        <v>166</v>
      </c>
      <c r="N7" s="9" t="s">
        <v>138</v>
      </c>
      <c r="O7" s="23" t="s">
        <v>163</v>
      </c>
      <c r="P7" s="23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173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172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135</v>
      </c>
      <c r="M9" s="9" t="s">
        <v>169</v>
      </c>
      <c r="N9" s="9" t="s">
        <v>139</v>
      </c>
      <c r="O9" s="23" t="s">
        <v>139</v>
      </c>
      <c r="P9" s="23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225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177</v>
      </c>
      <c r="H51" t="s">
        <v>176</v>
      </c>
      <c r="I51" t="s">
        <v>175</v>
      </c>
      <c r="J51">
        <v>8</v>
      </c>
      <c r="K51" t="s">
        <v>9</v>
      </c>
    </row>
    <row r="52" spans="2:11" x14ac:dyDescent="0.2">
      <c r="G52" t="s">
        <v>180</v>
      </c>
      <c r="H52" t="s">
        <v>179</v>
      </c>
      <c r="I52" t="s">
        <v>178</v>
      </c>
      <c r="J52">
        <v>600</v>
      </c>
      <c r="K52" t="s">
        <v>174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181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235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224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236</v>
      </c>
      <c r="E67">
        <v>4</v>
      </c>
      <c r="F67">
        <v>0.7</v>
      </c>
      <c r="I67" t="s">
        <v>231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230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226</v>
      </c>
    </row>
    <row r="80" spans="1:12" x14ac:dyDescent="0.2">
      <c r="B80" s="2">
        <f>B79*1000/9.8</f>
        <v>163.26530612244898</v>
      </c>
      <c r="C80" t="s">
        <v>48</v>
      </c>
      <c r="G80" t="s">
        <v>233</v>
      </c>
    </row>
    <row r="81" spans="1:9" x14ac:dyDescent="0.2">
      <c r="G81" t="s">
        <v>184</v>
      </c>
      <c r="H81" s="31">
        <v>25</v>
      </c>
      <c r="I81" t="s">
        <v>131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185</v>
      </c>
      <c r="H82" s="31">
        <v>100</v>
      </c>
      <c r="I82" t="s">
        <v>131</v>
      </c>
    </row>
    <row r="83" spans="1:9" x14ac:dyDescent="0.2">
      <c r="G83" t="s">
        <v>186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187</v>
      </c>
      <c r="H84" s="31">
        <v>60</v>
      </c>
      <c r="I84" t="s">
        <v>121</v>
      </c>
    </row>
    <row r="85" spans="1:9" x14ac:dyDescent="0.2">
      <c r="G85" t="s">
        <v>188</v>
      </c>
      <c r="H85" s="31">
        <v>0.8</v>
      </c>
      <c r="I85" t="s">
        <v>182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189</v>
      </c>
      <c r="H86" s="31">
        <v>75</v>
      </c>
      <c r="I86" t="s">
        <v>183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232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234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238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237</v>
      </c>
    </row>
    <row r="2" spans="1:3" x14ac:dyDescent="0.2">
      <c r="B2">
        <v>5.3</v>
      </c>
    </row>
    <row r="3" spans="1:3" x14ac:dyDescent="0.2">
      <c r="A3" t="s">
        <v>131</v>
      </c>
      <c r="B3" t="s">
        <v>241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tabSelected="1" topLeftCell="O17" zoomScaleNormal="100" workbookViewId="0">
      <selection activeCell="AD51" sqref="AD51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8" t="s">
        <v>111</v>
      </c>
    </row>
    <row r="3" spans="1:33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253</v>
      </c>
    </row>
    <row r="4" spans="1:33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320</v>
      </c>
    </row>
    <row r="5" spans="1:33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274</v>
      </c>
    </row>
    <row r="7" spans="1:33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273</v>
      </c>
      <c r="N9" t="s">
        <v>283</v>
      </c>
    </row>
    <row r="10" spans="1:33" x14ac:dyDescent="0.2">
      <c r="N10" s="39" t="s">
        <v>285</v>
      </c>
      <c r="O10" s="40"/>
      <c r="P10" s="41"/>
      <c r="Q10" s="49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2" t="s">
        <v>254</v>
      </c>
      <c r="O11" s="37">
        <v>3.5000000000000003E-2</v>
      </c>
      <c r="P11" s="43">
        <v>3.5000000000000003E-2</v>
      </c>
      <c r="Q11" s="49"/>
      <c r="T11">
        <v>60</v>
      </c>
      <c r="U11">
        <v>1.9E-2</v>
      </c>
      <c r="W11" t="s">
        <v>272</v>
      </c>
    </row>
    <row r="12" spans="1:33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4" t="s">
        <v>255</v>
      </c>
      <c r="O12" s="38">
        <f>B12/2</f>
        <v>4.5045045045045047</v>
      </c>
      <c r="P12" s="45">
        <f>H12/2</f>
        <v>4.3918918918918921</v>
      </c>
      <c r="Q12" s="38"/>
      <c r="R12" t="s">
        <v>257</v>
      </c>
      <c r="S12" t="s">
        <v>131</v>
      </c>
      <c r="T12" t="s">
        <v>258</v>
      </c>
      <c r="U12" t="s">
        <v>259</v>
      </c>
      <c r="V12" t="s">
        <v>265</v>
      </c>
      <c r="W12" t="s">
        <v>161</v>
      </c>
      <c r="X12" t="s">
        <v>263</v>
      </c>
      <c r="Y12" t="s">
        <v>262</v>
      </c>
      <c r="AB12" t="s">
        <v>84</v>
      </c>
      <c r="AE12" t="s">
        <v>264</v>
      </c>
      <c r="AF12" t="s">
        <v>269</v>
      </c>
    </row>
    <row r="13" spans="1:33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4" t="s">
        <v>256</v>
      </c>
      <c r="O13" s="38">
        <f>O12*O11</f>
        <v>0.15765765765765768</v>
      </c>
      <c r="P13" s="45">
        <f>P12*P11</f>
        <v>0.15371621621621623</v>
      </c>
      <c r="Q13" s="38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4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N14" s="44" t="s">
        <v>121</v>
      </c>
      <c r="O14" s="38">
        <f>O12^2 * O11</f>
        <v>0.71016962908854819</v>
      </c>
      <c r="P14" s="45">
        <f>P12^2 * P11</f>
        <v>0.67510500365230108</v>
      </c>
      <c r="Q14" s="38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4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4" t="s">
        <v>286</v>
      </c>
      <c r="O15" s="38">
        <f>2*O14</f>
        <v>1.4203392581770964</v>
      </c>
      <c r="P15" s="45">
        <f>2*P14</f>
        <v>1.3502100073046022</v>
      </c>
      <c r="Q15" s="38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4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319</v>
      </c>
      <c r="N16" s="46"/>
      <c r="O16" s="47"/>
      <c r="P16" s="48"/>
      <c r="Q16" s="49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4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307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R20" s="33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30" x14ac:dyDescent="0.2">
      <c r="B22" s="2">
        <f>B11/B21*1000</f>
        <v>1.2484394506866416</v>
      </c>
      <c r="C22" s="2">
        <f t="shared" ref="C22:K22" si="4">C11/C21*1000</f>
        <v>1.9975031210986267</v>
      </c>
      <c r="D22" s="2">
        <f t="shared" si="4"/>
        <v>3.1210986267166039</v>
      </c>
      <c r="E22" s="2">
        <f t="shared" si="4"/>
        <v>1.2484394506866416</v>
      </c>
      <c r="F22" s="2">
        <f t="shared" si="4"/>
        <v>1.6229712858926342</v>
      </c>
      <c r="G22" s="2">
        <f t="shared" si="4"/>
        <v>1.2484394506866416</v>
      </c>
      <c r="H22" s="2">
        <f t="shared" si="4"/>
        <v>1.6229712858926342</v>
      </c>
      <c r="I22" s="2">
        <f t="shared" si="4"/>
        <v>1.9975031210986267</v>
      </c>
      <c r="J22" s="2">
        <f t="shared" si="4"/>
        <v>1.9975031210986267</v>
      </c>
      <c r="K22" s="2">
        <f t="shared" si="4"/>
        <v>1.9975031210986267</v>
      </c>
      <c r="L22" t="s">
        <v>130</v>
      </c>
      <c r="M22" t="s">
        <v>182</v>
      </c>
      <c r="R22" s="33"/>
      <c r="T22" s="18" t="s">
        <v>322</v>
      </c>
      <c r="AA22" s="18" t="s">
        <v>321</v>
      </c>
    </row>
    <row r="23" spans="2:30" x14ac:dyDescent="0.2">
      <c r="T23">
        <v>40</v>
      </c>
      <c r="U23">
        <v>1.7000000000000001E-2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304</v>
      </c>
      <c r="R24" s="33"/>
      <c r="T24">
        <v>66</v>
      </c>
      <c r="U24">
        <v>1.9E-2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305</v>
      </c>
      <c r="T25">
        <v>100</v>
      </c>
      <c r="U25">
        <v>2.5999999999999999E-2</v>
      </c>
      <c r="V25">
        <v>2.7E-2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R26" s="33"/>
      <c r="T26">
        <v>175</v>
      </c>
      <c r="U26">
        <v>3.2000000000000001E-2</v>
      </c>
      <c r="V26">
        <v>0.03</v>
      </c>
      <c r="AA26" t="s">
        <v>244</v>
      </c>
      <c r="AB26">
        <v>1</v>
      </c>
      <c r="AC26">
        <v>1</v>
      </c>
      <c r="AD26" t="s">
        <v>326</v>
      </c>
    </row>
    <row r="27" spans="2:30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282</v>
      </c>
      <c r="T27">
        <v>270</v>
      </c>
      <c r="U27" s="50">
        <v>3.9E-2</v>
      </c>
    </row>
    <row r="28" spans="2:30" x14ac:dyDescent="0.2">
      <c r="B28" s="2">
        <f>B24*(B22/1000)</f>
        <v>0.37453183520599254</v>
      </c>
      <c r="C28" s="2">
        <f t="shared" ref="C28:K28" si="5">C24*(C22/1000)</f>
        <v>0.59925093632958804</v>
      </c>
      <c r="D28" s="2">
        <f t="shared" si="5"/>
        <v>0.93632958801498123</v>
      </c>
      <c r="E28" s="2">
        <f t="shared" si="5"/>
        <v>0.37453183520599254</v>
      </c>
      <c r="F28" s="2">
        <f t="shared" si="5"/>
        <v>0.48689138576779023</v>
      </c>
      <c r="G28" s="2">
        <f t="shared" si="5"/>
        <v>0.37453183520599254</v>
      </c>
      <c r="H28" s="2">
        <f t="shared" si="5"/>
        <v>0.48689138576779023</v>
      </c>
      <c r="I28" s="2">
        <f t="shared" si="5"/>
        <v>0.59925093632958804</v>
      </c>
      <c r="J28" s="2">
        <f t="shared" si="5"/>
        <v>0.59925093632958804</v>
      </c>
      <c r="K28" s="2">
        <f t="shared" si="5"/>
        <v>0.59925093632958804</v>
      </c>
      <c r="L28" t="s">
        <v>129</v>
      </c>
      <c r="R28" s="33"/>
      <c r="T28">
        <v>330</v>
      </c>
      <c r="U28" s="50">
        <v>4.2000000000000003E-2</v>
      </c>
      <c r="AA28" t="s">
        <v>324</v>
      </c>
      <c r="AB28">
        <v>3.2000000000000001E-2</v>
      </c>
      <c r="AC28">
        <v>2.5999999999999999E-2</v>
      </c>
      <c r="AD28" t="s">
        <v>3</v>
      </c>
    </row>
    <row r="29" spans="2:30" x14ac:dyDescent="0.2">
      <c r="T29">
        <v>420</v>
      </c>
      <c r="U29">
        <v>4.8000000000000001E-2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4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4">
        <f t="shared" si="6"/>
        <v>2.4696969696969697</v>
      </c>
      <c r="I30" s="4">
        <f t="shared" si="6"/>
        <v>2.4696969696969697</v>
      </c>
      <c r="J30" s="4">
        <f t="shared" si="6"/>
        <v>2.4696969696969697</v>
      </c>
      <c r="K30" s="4">
        <f t="shared" si="6"/>
        <v>2.4696969696969697</v>
      </c>
      <c r="L30" t="s">
        <v>306</v>
      </c>
      <c r="R30" s="33"/>
      <c r="T30">
        <v>660</v>
      </c>
      <c r="U30">
        <v>6.2E-2</v>
      </c>
      <c r="AA30" t="s">
        <v>84</v>
      </c>
      <c r="AB30">
        <v>90</v>
      </c>
      <c r="AC30">
        <v>100</v>
      </c>
    </row>
    <row r="31" spans="2:30" x14ac:dyDescent="0.2">
      <c r="T31">
        <v>1162</v>
      </c>
      <c r="U31">
        <v>8.2000000000000003E-2</v>
      </c>
      <c r="AA31" t="s">
        <v>323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547.17293981097669</v>
      </c>
      <c r="C32" s="5">
        <f t="shared" si="7"/>
        <v>656.60752777317191</v>
      </c>
      <c r="D32" s="5">
        <f t="shared" ref="D32" si="8">D26/D30</f>
        <v>1025.9492621455811</v>
      </c>
      <c r="E32" s="5">
        <f t="shared" si="7"/>
        <v>547.17293981097669</v>
      </c>
      <c r="F32" s="5">
        <f>F26/F30</f>
        <v>711.32482175426969</v>
      </c>
      <c r="G32" s="5">
        <f t="shared" ref="G32" si="9">G26/G30</f>
        <v>410.3797048582324</v>
      </c>
      <c r="H32" s="5">
        <f t="shared" si="7"/>
        <v>533.4936163157023</v>
      </c>
      <c r="I32" s="5">
        <f t="shared" si="7"/>
        <v>656.60752777317191</v>
      </c>
      <c r="J32" s="5">
        <f>J26/J30</f>
        <v>656.60752777317191</v>
      </c>
      <c r="K32" s="5">
        <f t="shared" si="7"/>
        <v>656.60752777317191</v>
      </c>
      <c r="L32" t="s">
        <v>132</v>
      </c>
      <c r="T32">
        <v>3000</v>
      </c>
      <c r="U32">
        <v>0.14000000000000001</v>
      </c>
      <c r="AA32" t="s">
        <v>270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">
        <f t="shared" ref="D33" si="11">D27/D30</f>
        <v>101.22699386503068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">
        <f t="shared" si="10"/>
        <v>52.638036809815951</v>
      </c>
      <c r="I33" s="5">
        <f t="shared" si="10"/>
        <v>64.785276073619627</v>
      </c>
      <c r="J33" s="5">
        <f>J27/J30</f>
        <v>64.785276073619627</v>
      </c>
      <c r="K33" s="5">
        <f t="shared" si="10"/>
        <v>64.785276073619627</v>
      </c>
      <c r="L33" t="s">
        <v>133</v>
      </c>
      <c r="M33" t="s">
        <v>252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284</v>
      </c>
      <c r="C35" t="s">
        <v>284</v>
      </c>
      <c r="D35" t="s">
        <v>316</v>
      </c>
      <c r="E35" t="s">
        <v>284</v>
      </c>
      <c r="F35" t="s">
        <v>284</v>
      </c>
      <c r="G35" t="s">
        <v>287</v>
      </c>
      <c r="H35" t="s">
        <v>284</v>
      </c>
      <c r="I35" t="s">
        <v>284</v>
      </c>
      <c r="J35" t="s">
        <v>284</v>
      </c>
      <c r="K35" t="s">
        <v>284</v>
      </c>
      <c r="R35" t="s">
        <v>276</v>
      </c>
      <c r="AA35" t="s">
        <v>260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318</v>
      </c>
      <c r="D36" t="s">
        <v>163</v>
      </c>
      <c r="E36" t="s">
        <v>165</v>
      </c>
      <c r="F36" t="s">
        <v>318</v>
      </c>
      <c r="G36" t="s">
        <v>165</v>
      </c>
      <c r="H36" t="s">
        <v>318</v>
      </c>
      <c r="I36" t="s">
        <v>318</v>
      </c>
      <c r="J36" t="s">
        <v>318</v>
      </c>
      <c r="K36" t="s">
        <v>318</v>
      </c>
      <c r="R36" t="s">
        <v>102</v>
      </c>
      <c r="S36" s="20">
        <v>1250000</v>
      </c>
      <c r="AA36" t="s">
        <v>261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277</v>
      </c>
      <c r="S37">
        <v>0.9</v>
      </c>
      <c r="AA37" t="s">
        <v>325</v>
      </c>
      <c r="AB37" s="21">
        <f>(AB29*AB30)/AB36</f>
        <v>0.92447770272664909</v>
      </c>
      <c r="AC37" s="21">
        <f>(AC29*AC30)/AC36</f>
        <v>0.94098304730512339</v>
      </c>
    </row>
    <row r="38" spans="2:30" x14ac:dyDescent="0.2">
      <c r="D38" t="s">
        <v>317</v>
      </c>
      <c r="M38" s="18" t="s">
        <v>298</v>
      </c>
      <c r="O38" s="2">
        <v>14.8</v>
      </c>
      <c r="AA38" t="s">
        <v>266</v>
      </c>
      <c r="AB38" s="2">
        <f>AB30*AB35 /100</f>
        <v>3.2963040000000001</v>
      </c>
      <c r="AC38" s="2">
        <f>AC30*AC35 /100</f>
        <v>2.9320800000000005</v>
      </c>
      <c r="AD38" t="s">
        <v>327</v>
      </c>
    </row>
    <row r="39" spans="2:30" x14ac:dyDescent="0.2">
      <c r="L39" s="36"/>
      <c r="M39">
        <v>6</v>
      </c>
      <c r="N39" t="s">
        <v>294</v>
      </c>
      <c r="O39" s="2"/>
      <c r="R39" t="s">
        <v>278</v>
      </c>
      <c r="S39" s="5">
        <f>3/(0.01*(1-S37))</f>
        <v>3000.0000000000005</v>
      </c>
      <c r="T39" t="s">
        <v>269</v>
      </c>
      <c r="AA39" t="s">
        <v>267</v>
      </c>
      <c r="AB39" s="5">
        <f>AB38*100 / (2.54 * 12)</f>
        <v>10.814645669291339</v>
      </c>
      <c r="AC39" s="5">
        <f>AC38*100 / (2.54 * 12)</f>
        <v>9.6196850393700792</v>
      </c>
      <c r="AD39" t="s">
        <v>328</v>
      </c>
    </row>
    <row r="40" spans="2:30" x14ac:dyDescent="0.2">
      <c r="M40">
        <v>24</v>
      </c>
      <c r="N40" t="s">
        <v>295</v>
      </c>
      <c r="O40" s="2">
        <f>(M40*M41)/(M39/2)</f>
        <v>32</v>
      </c>
      <c r="R40" t="s">
        <v>279</v>
      </c>
      <c r="S40" s="35">
        <f>(1.6*S37)/(S39*S36)</f>
        <v>3.8400000000000002E-10</v>
      </c>
      <c r="T40" t="s">
        <v>280</v>
      </c>
      <c r="AA40" t="s">
        <v>329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290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291</v>
      </c>
      <c r="O42" s="2"/>
      <c r="AA42" t="s">
        <v>268</v>
      </c>
      <c r="AB42" s="5">
        <f>AB39*3</f>
        <v>32.44393700787402</v>
      </c>
      <c r="AC42" s="5">
        <f>AC39*3</f>
        <v>28.859055118110238</v>
      </c>
      <c r="AD42" t="s">
        <v>271</v>
      </c>
    </row>
    <row r="43" spans="2:30" x14ac:dyDescent="0.2">
      <c r="M43" t="s">
        <v>292</v>
      </c>
      <c r="N43" t="s">
        <v>293</v>
      </c>
      <c r="O43" s="2">
        <f>O38*O40</f>
        <v>473.6</v>
      </c>
      <c r="R43" t="s">
        <v>276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20">
        <v>1200000</v>
      </c>
      <c r="V44" t="s">
        <v>278</v>
      </c>
      <c r="W44">
        <v>5000</v>
      </c>
      <c r="X44" t="s">
        <v>269</v>
      </c>
      <c r="AB44" s="4">
        <f>AB41*AB28</f>
        <v>2.2383917889433045</v>
      </c>
      <c r="AC44" s="4">
        <f>AC41*AC28</f>
        <v>1.6177374218750664</v>
      </c>
      <c r="AD44" t="s">
        <v>275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277</v>
      </c>
      <c r="S45">
        <v>0.88</v>
      </c>
      <c r="V45" t="s">
        <v>279</v>
      </c>
      <c r="W45" s="20">
        <v>3.9E-10</v>
      </c>
      <c r="X45" t="s">
        <v>280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277</v>
      </c>
      <c r="W46" s="2">
        <f>1-(300/W44)</f>
        <v>0.94</v>
      </c>
      <c r="X46" t="s">
        <v>281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278</v>
      </c>
      <c r="S47" s="5">
        <f>3/(0.01*(1-S45))</f>
        <v>2500</v>
      </c>
      <c r="T47" t="s">
        <v>269</v>
      </c>
      <c r="V47" t="s">
        <v>102</v>
      </c>
      <c r="W47" s="20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297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279</v>
      </c>
      <c r="S48" s="35">
        <f>(1.6*S45)/(S47*S44)</f>
        <v>4.6933333333333337E-10</v>
      </c>
      <c r="T48" t="s">
        <v>280</v>
      </c>
      <c r="W48" s="5">
        <f>1/W47*1000000000</f>
        <v>1296.5425531914896</v>
      </c>
      <c r="X48" t="s">
        <v>296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288</v>
      </c>
      <c r="O50" s="2"/>
    </row>
    <row r="51" spans="12:26" x14ac:dyDescent="0.2">
      <c r="M51">
        <f>M46+N46</f>
        <v>3.5051999999999999</v>
      </c>
      <c r="N51" t="s">
        <v>289</v>
      </c>
      <c r="O51" s="2"/>
      <c r="R51" t="s">
        <v>278</v>
      </c>
      <c r="S51">
        <v>2500</v>
      </c>
      <c r="T51" t="s">
        <v>269</v>
      </c>
      <c r="V51" t="s">
        <v>278</v>
      </c>
      <c r="W51">
        <v>3500</v>
      </c>
      <c r="X51" t="s">
        <v>269</v>
      </c>
    </row>
    <row r="52" spans="12:26" x14ac:dyDescent="0.2">
      <c r="O52" s="2"/>
      <c r="R52" t="s">
        <v>279</v>
      </c>
      <c r="S52" s="20">
        <v>4.7000000000000003E-10</v>
      </c>
      <c r="T52" t="s">
        <v>280</v>
      </c>
      <c r="V52" t="s">
        <v>279</v>
      </c>
      <c r="W52" s="20">
        <v>3.9E-10</v>
      </c>
      <c r="X52" t="s">
        <v>280</v>
      </c>
    </row>
    <row r="53" spans="12:26" x14ac:dyDescent="0.2">
      <c r="O53" s="2"/>
      <c r="R53" t="s">
        <v>277</v>
      </c>
      <c r="S53" s="2">
        <f>1-(300/S51)</f>
        <v>0.88</v>
      </c>
      <c r="T53" t="s">
        <v>281</v>
      </c>
      <c r="V53" t="s">
        <v>277</v>
      </c>
      <c r="W53" s="2">
        <f>1-(300/W51)</f>
        <v>0.91428571428571426</v>
      </c>
      <c r="X53" t="s">
        <v>281</v>
      </c>
    </row>
    <row r="54" spans="12:26" x14ac:dyDescent="0.2">
      <c r="M54">
        <v>0.70699999999999996</v>
      </c>
      <c r="O54" s="2"/>
      <c r="R54" t="s">
        <v>102</v>
      </c>
      <c r="S54" s="20">
        <f xml:space="preserve"> (1.6*S53)/(S51*S52)</f>
        <v>1198297.8723404256</v>
      </c>
      <c r="T54" t="s">
        <v>63</v>
      </c>
      <c r="V54" t="s">
        <v>102</v>
      </c>
      <c r="W54" s="20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297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296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278</v>
      </c>
      <c r="S57">
        <v>2700</v>
      </c>
      <c r="T57" t="s">
        <v>269</v>
      </c>
      <c r="V57" t="s">
        <v>278</v>
      </c>
      <c r="W57">
        <v>3000</v>
      </c>
      <c r="X57" t="s">
        <v>269</v>
      </c>
    </row>
    <row r="58" spans="12:26" x14ac:dyDescent="0.2">
      <c r="O58" s="2"/>
      <c r="R58" t="s">
        <v>279</v>
      </c>
      <c r="S58" s="20">
        <v>4.7000000000000003E-10</v>
      </c>
      <c r="T58" t="s">
        <v>280</v>
      </c>
      <c r="V58" t="s">
        <v>279</v>
      </c>
      <c r="W58" s="20">
        <v>3.9E-10</v>
      </c>
      <c r="X58" t="s">
        <v>280</v>
      </c>
    </row>
    <row r="59" spans="12:26" x14ac:dyDescent="0.2">
      <c r="M59" s="18" t="s">
        <v>299</v>
      </c>
      <c r="O59" s="2">
        <v>14.8</v>
      </c>
      <c r="R59" t="s">
        <v>277</v>
      </c>
      <c r="S59" s="2">
        <f>1-(300/S57)</f>
        <v>0.88888888888888884</v>
      </c>
      <c r="T59" t="s">
        <v>281</v>
      </c>
      <c r="V59" t="s">
        <v>277</v>
      </c>
      <c r="W59" s="2">
        <f>1-(300/W57)</f>
        <v>0.9</v>
      </c>
      <c r="X59" t="s">
        <v>281</v>
      </c>
    </row>
    <row r="60" spans="12:26" x14ac:dyDescent="0.2">
      <c r="L60" s="36"/>
      <c r="M60">
        <v>6</v>
      </c>
      <c r="N60" t="s">
        <v>294</v>
      </c>
      <c r="O60" s="2"/>
      <c r="R60" t="s">
        <v>102</v>
      </c>
      <c r="S60" s="20">
        <f xml:space="preserve"> (1.6*S59)/(S57*S58)</f>
        <v>1120742.4919008843</v>
      </c>
      <c r="T60" t="s">
        <v>63</v>
      </c>
      <c r="V60" t="s">
        <v>102</v>
      </c>
      <c r="W60" s="20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297</v>
      </c>
    </row>
    <row r="61" spans="12:26" x14ac:dyDescent="0.2">
      <c r="M61">
        <v>16</v>
      </c>
      <c r="N61" t="s">
        <v>295</v>
      </c>
      <c r="O61" s="2">
        <f>(M61*M62)/(M60/2)</f>
        <v>26.666666666666668</v>
      </c>
      <c r="W61" s="5">
        <f>1/W60*1000000000</f>
        <v>812.49999999999989</v>
      </c>
      <c r="X61" t="s">
        <v>296</v>
      </c>
    </row>
    <row r="62" spans="12:26" x14ac:dyDescent="0.2">
      <c r="M62">
        <v>5</v>
      </c>
      <c r="N62" t="s">
        <v>290</v>
      </c>
      <c r="O62" s="2"/>
    </row>
    <row r="63" spans="12:26" x14ac:dyDescent="0.2">
      <c r="M63">
        <v>1</v>
      </c>
      <c r="N63" t="s">
        <v>291</v>
      </c>
      <c r="O63" s="2"/>
      <c r="R63" t="s">
        <v>278</v>
      </c>
      <c r="S63">
        <v>3000</v>
      </c>
      <c r="T63" t="s">
        <v>269</v>
      </c>
      <c r="V63" t="s">
        <v>278</v>
      </c>
      <c r="W63">
        <v>2500</v>
      </c>
      <c r="X63" t="s">
        <v>269</v>
      </c>
    </row>
    <row r="64" spans="12:26" x14ac:dyDescent="0.2">
      <c r="M64" t="s">
        <v>292</v>
      </c>
      <c r="N64" t="s">
        <v>293</v>
      </c>
      <c r="O64" s="2">
        <f>O59*O61</f>
        <v>394.66666666666669</v>
      </c>
      <c r="R64" t="s">
        <v>279</v>
      </c>
      <c r="S64" s="20">
        <v>4.7000000000000003E-10</v>
      </c>
      <c r="T64" t="s">
        <v>280</v>
      </c>
      <c r="V64" t="s">
        <v>279</v>
      </c>
      <c r="W64" s="20">
        <v>3.9E-10</v>
      </c>
      <c r="X64" t="s">
        <v>280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277</v>
      </c>
      <c r="S65" s="2">
        <f>1-(300/S63)</f>
        <v>0.9</v>
      </c>
      <c r="T65" t="s">
        <v>281</v>
      </c>
      <c r="V65" t="s">
        <v>277</v>
      </c>
      <c r="W65" s="2">
        <f>1-(300/W63)</f>
        <v>0.88</v>
      </c>
      <c r="X65" t="s">
        <v>281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20">
        <f xml:space="preserve"> (1.6*S65)/(S63*S64)</f>
        <v>1021276.595744681</v>
      </c>
      <c r="T66" t="s">
        <v>63</v>
      </c>
      <c r="V66" t="s">
        <v>102</v>
      </c>
      <c r="W66" s="20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297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296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278</v>
      </c>
      <c r="S69">
        <v>2200</v>
      </c>
      <c r="T69" t="s">
        <v>269</v>
      </c>
    </row>
    <row r="70" spans="12:26" x14ac:dyDescent="0.2">
      <c r="O70" s="2"/>
      <c r="R70" t="s">
        <v>279</v>
      </c>
      <c r="S70" s="20">
        <v>4.7000000000000003E-10</v>
      </c>
      <c r="T70" t="s">
        <v>280</v>
      </c>
    </row>
    <row r="71" spans="12:26" x14ac:dyDescent="0.2">
      <c r="M71">
        <f>MAX(M60*M66,M61*N66)</f>
        <v>7.3152000000000008</v>
      </c>
      <c r="N71" t="s">
        <v>288</v>
      </c>
      <c r="O71" s="2"/>
      <c r="R71" t="s">
        <v>277</v>
      </c>
      <c r="S71" s="2">
        <f>1-(300/S69)</f>
        <v>0.86363636363636365</v>
      </c>
      <c r="T71" t="s">
        <v>281</v>
      </c>
    </row>
    <row r="72" spans="12:26" x14ac:dyDescent="0.2">
      <c r="M72">
        <f>M67+N67</f>
        <v>3.3782000000000005</v>
      </c>
      <c r="N72" t="s">
        <v>289</v>
      </c>
      <c r="O72" s="2"/>
      <c r="R72" t="s">
        <v>102</v>
      </c>
      <c r="S72" s="20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297</v>
      </c>
    </row>
    <row r="74" spans="12:26" x14ac:dyDescent="0.2">
      <c r="S74" s="20">
        <f>S71/S72</f>
        <v>6.4624999999999995E-7</v>
      </c>
    </row>
    <row r="75" spans="12:26" x14ac:dyDescent="0.2">
      <c r="M75">
        <v>0.70699999999999996</v>
      </c>
      <c r="N75" t="s">
        <v>302</v>
      </c>
    </row>
    <row r="76" spans="12:26" x14ac:dyDescent="0.2">
      <c r="M76">
        <v>0.42699999999999999</v>
      </c>
      <c r="N76" t="s">
        <v>303</v>
      </c>
    </row>
    <row r="77" spans="12:26" x14ac:dyDescent="0.2">
      <c r="M77">
        <f>M75-M76</f>
        <v>0.27999999999999997</v>
      </c>
      <c r="N77" t="s">
        <v>300</v>
      </c>
    </row>
    <row r="78" spans="12:26" x14ac:dyDescent="0.2">
      <c r="M78">
        <f>M77/2</f>
        <v>0.13999999999999999</v>
      </c>
      <c r="N78" t="s">
        <v>301</v>
      </c>
    </row>
    <row r="81" spans="11:14" x14ac:dyDescent="0.2">
      <c r="M81" s="18" t="s">
        <v>311</v>
      </c>
    </row>
    <row r="83" spans="11:14" x14ac:dyDescent="0.2">
      <c r="M83">
        <f xml:space="preserve"> 6.25 * 10^5</f>
        <v>625000</v>
      </c>
      <c r="N83" t="s">
        <v>312</v>
      </c>
    </row>
    <row r="84" spans="11:14" x14ac:dyDescent="0.2">
      <c r="M84">
        <v>15</v>
      </c>
      <c r="N84" t="s">
        <v>315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313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309</v>
      </c>
    </row>
    <row r="89" spans="11:14" x14ac:dyDescent="0.2">
      <c r="M89" s="4">
        <f>M85*M88</f>
        <v>5.3014376029327774</v>
      </c>
      <c r="N89" t="s">
        <v>314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400</v>
      </c>
      <c r="L104" t="s">
        <v>123</v>
      </c>
    </row>
    <row r="105" spans="11:12" x14ac:dyDescent="0.2">
      <c r="K105" s="5">
        <f>K104/K92*K95</f>
        <v>90.022505626406598</v>
      </c>
      <c r="L105" t="s">
        <v>319</v>
      </c>
    </row>
    <row r="106" spans="11:12" x14ac:dyDescent="0.2">
      <c r="K106" s="2">
        <f>K100/K104</f>
        <v>1</v>
      </c>
      <c r="L106" t="s">
        <v>125</v>
      </c>
    </row>
    <row r="108" spans="11:12" x14ac:dyDescent="0.2">
      <c r="K108" s="7">
        <v>250</v>
      </c>
      <c r="L108" t="s">
        <v>307</v>
      </c>
    </row>
    <row r="110" spans="11:12" x14ac:dyDescent="0.2">
      <c r="K110">
        <f>K104*K108</f>
        <v>100000</v>
      </c>
      <c r="L110" t="s">
        <v>126</v>
      </c>
    </row>
    <row r="111" spans="11:12" x14ac:dyDescent="0.2">
      <c r="K111" s="2">
        <f t="shared" ref="K111" si="15">K100/K110*1000</f>
        <v>4</v>
      </c>
      <c r="L111" t="s">
        <v>130</v>
      </c>
    </row>
    <row r="113" spans="11:12" x14ac:dyDescent="0.2">
      <c r="K113">
        <v>300</v>
      </c>
      <c r="L113" t="s">
        <v>304</v>
      </c>
    </row>
    <row r="114" spans="11:12" x14ac:dyDescent="0.2">
      <c r="K114">
        <v>300</v>
      </c>
      <c r="L114" t="s">
        <v>305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300</v>
      </c>
      <c r="L116" t="s">
        <v>128</v>
      </c>
    </row>
    <row r="117" spans="11:12" x14ac:dyDescent="0.2">
      <c r="K117" s="2">
        <f t="shared" ref="K117:L117" si="16">K113*(K111/1000)</f>
        <v>1.2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306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121.47239263803681</v>
      </c>
      <c r="L122" t="s">
        <v>133</v>
      </c>
    </row>
    <row r="124" spans="11:12" x14ac:dyDescent="0.2">
      <c r="K124" t="s">
        <v>173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204</v>
      </c>
    </row>
    <row r="6" spans="3:11" x14ac:dyDescent="0.2">
      <c r="C6" t="s">
        <v>205</v>
      </c>
      <c r="H6" t="s">
        <v>183</v>
      </c>
      <c r="I6" t="s">
        <v>199</v>
      </c>
    </row>
    <row r="7" spans="3:11" ht="19" x14ac:dyDescent="0.25">
      <c r="C7" s="26" t="s">
        <v>190</v>
      </c>
      <c r="D7" s="26">
        <v>30</v>
      </c>
      <c r="E7" s="27" t="s">
        <v>191</v>
      </c>
      <c r="H7">
        <v>30</v>
      </c>
      <c r="I7">
        <v>0</v>
      </c>
    </row>
    <row r="8" spans="3:11" ht="19" x14ac:dyDescent="0.25">
      <c r="C8" s="26" t="s">
        <v>192</v>
      </c>
      <c r="D8" s="26">
        <v>0.30099999999999999</v>
      </c>
      <c r="E8" s="27" t="s">
        <v>131</v>
      </c>
      <c r="H8">
        <v>40</v>
      </c>
      <c r="I8">
        <v>100</v>
      </c>
    </row>
    <row r="9" spans="3:11" ht="19" x14ac:dyDescent="0.25">
      <c r="C9" s="28" t="s">
        <v>193</v>
      </c>
      <c r="D9" s="28">
        <v>21</v>
      </c>
      <c r="E9" s="27" t="s">
        <v>131</v>
      </c>
      <c r="H9">
        <v>50</v>
      </c>
      <c r="I9">
        <f>I10-I8</f>
        <v>200</v>
      </c>
    </row>
    <row r="10" spans="3:11" ht="19" x14ac:dyDescent="0.25">
      <c r="C10" s="28" t="s">
        <v>194</v>
      </c>
      <c r="D10" s="28">
        <v>2.5000000000000001E-2</v>
      </c>
      <c r="E10" s="27" t="s">
        <v>131</v>
      </c>
      <c r="H10">
        <v>60</v>
      </c>
      <c r="I10">
        <v>300</v>
      </c>
      <c r="J10">
        <f>I9/H9</f>
        <v>4</v>
      </c>
      <c r="K10" t="s">
        <v>202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191</v>
      </c>
      <c r="H11" t="s">
        <v>182</v>
      </c>
      <c r="I11" t="s">
        <v>199</v>
      </c>
    </row>
    <row r="12" spans="3:11" ht="19" x14ac:dyDescent="0.25">
      <c r="C12" s="29" t="s">
        <v>195</v>
      </c>
      <c r="D12" s="30">
        <f>D11*D10*LOG(D9/D10,2.718)</f>
        <v>14.665310181214844</v>
      </c>
      <c r="E12" s="27" t="s">
        <v>196</v>
      </c>
      <c r="H12">
        <v>0.1</v>
      </c>
      <c r="I12">
        <v>200</v>
      </c>
      <c r="J12">
        <f>I12/H12</f>
        <v>2000</v>
      </c>
      <c r="K12" t="s">
        <v>203</v>
      </c>
    </row>
    <row r="14" spans="3:11" x14ac:dyDescent="0.2">
      <c r="C14" t="s">
        <v>206</v>
      </c>
      <c r="H14" t="s">
        <v>121</v>
      </c>
    </row>
    <row r="15" spans="3:11" ht="19" x14ac:dyDescent="0.25">
      <c r="C15" s="26" t="s">
        <v>190</v>
      </c>
      <c r="D15" s="26">
        <v>30</v>
      </c>
      <c r="E15" s="27" t="s">
        <v>191</v>
      </c>
      <c r="H15">
        <f>H12*H9</f>
        <v>5</v>
      </c>
      <c r="I15">
        <v>200</v>
      </c>
      <c r="J15">
        <f>I15/H15</f>
        <v>40</v>
      </c>
      <c r="K15" t="s">
        <v>201</v>
      </c>
    </row>
    <row r="16" spans="3:11" ht="19" x14ac:dyDescent="0.25">
      <c r="C16" s="26" t="s">
        <v>192</v>
      </c>
      <c r="D16" s="26">
        <v>0.30099999999999999</v>
      </c>
      <c r="E16" s="27" t="s">
        <v>131</v>
      </c>
    </row>
    <row r="17" spans="3:10" ht="19" x14ac:dyDescent="0.25">
      <c r="C17" s="28" t="s">
        <v>193</v>
      </c>
      <c r="D17" s="28">
        <v>21</v>
      </c>
      <c r="E17" s="27" t="s">
        <v>131</v>
      </c>
    </row>
    <row r="18" spans="3:10" ht="19" x14ac:dyDescent="0.25">
      <c r="C18" s="28" t="s">
        <v>194</v>
      </c>
      <c r="D18" s="28">
        <v>0.6</v>
      </c>
      <c r="E18" s="27" t="s">
        <v>131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191</v>
      </c>
    </row>
    <row r="20" spans="3:10" ht="19" x14ac:dyDescent="0.25">
      <c r="C20" s="29" t="s">
        <v>195</v>
      </c>
      <c r="D20" s="30">
        <f>D19*D18*LOG(D17/D18,2.718)</f>
        <v>88.87374563714863</v>
      </c>
      <c r="E20" s="27" t="s">
        <v>196</v>
      </c>
      <c r="H20" t="s">
        <v>200</v>
      </c>
      <c r="I20" s="4">
        <f>D12*2</f>
        <v>29.330620362429688</v>
      </c>
      <c r="J20" t="s">
        <v>183</v>
      </c>
    </row>
    <row r="21" spans="3:10" x14ac:dyDescent="0.2">
      <c r="H21" t="s">
        <v>197</v>
      </c>
      <c r="I21" s="4">
        <f>D28</f>
        <v>205.59078000666895</v>
      </c>
      <c r="J21" t="s">
        <v>183</v>
      </c>
    </row>
    <row r="22" spans="3:10" x14ac:dyDescent="0.2">
      <c r="C22" t="s">
        <v>207</v>
      </c>
      <c r="H22" t="s">
        <v>198</v>
      </c>
      <c r="I22">
        <v>4</v>
      </c>
      <c r="J22" t="s">
        <v>202</v>
      </c>
    </row>
    <row r="23" spans="3:10" ht="19" x14ac:dyDescent="0.25">
      <c r="C23" s="26" t="s">
        <v>190</v>
      </c>
      <c r="D23" s="26">
        <v>30</v>
      </c>
      <c r="E23" s="27" t="s">
        <v>191</v>
      </c>
    </row>
    <row r="24" spans="3:10" ht="19" x14ac:dyDescent="0.25">
      <c r="C24" s="26" t="s">
        <v>192</v>
      </c>
      <c r="D24" s="26">
        <v>0.30099999999999999</v>
      </c>
      <c r="E24" s="27" t="s">
        <v>131</v>
      </c>
    </row>
    <row r="25" spans="3:10" ht="19" x14ac:dyDescent="0.25">
      <c r="C25" s="28" t="s">
        <v>193</v>
      </c>
      <c r="D25" s="28">
        <v>25</v>
      </c>
      <c r="E25" s="27" t="s">
        <v>131</v>
      </c>
      <c r="H25" t="s">
        <v>212</v>
      </c>
      <c r="I25" t="s">
        <v>145</v>
      </c>
    </row>
    <row r="26" spans="3:10" ht="19" x14ac:dyDescent="0.25">
      <c r="C26" s="28" t="s">
        <v>194</v>
      </c>
      <c r="D26" s="28">
        <v>2.5</v>
      </c>
      <c r="E26" s="27" t="s">
        <v>131</v>
      </c>
      <c r="H26" t="s">
        <v>209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191</v>
      </c>
      <c r="H27" t="s">
        <v>210</v>
      </c>
      <c r="I27">
        <v>0.25459999999999999</v>
      </c>
    </row>
    <row r="28" spans="3:10" ht="19" x14ac:dyDescent="0.25">
      <c r="C28" s="29" t="s">
        <v>195</v>
      </c>
      <c r="D28" s="30">
        <f>D27*D26*LOG(D25/D26,2.718)</f>
        <v>205.59078000666895</v>
      </c>
      <c r="E28" s="27" t="s">
        <v>196</v>
      </c>
      <c r="H28" t="s">
        <v>211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208</v>
      </c>
      <c r="H30" t="s">
        <v>169</v>
      </c>
      <c r="I30">
        <v>0.51</v>
      </c>
    </row>
    <row r="31" spans="3:10" ht="19" x14ac:dyDescent="0.25">
      <c r="C31" s="26" t="s">
        <v>190</v>
      </c>
      <c r="D31" s="26">
        <v>30</v>
      </c>
      <c r="E31" s="27" t="s">
        <v>191</v>
      </c>
      <c r="H31" t="s">
        <v>213</v>
      </c>
      <c r="I31">
        <v>0.64380000000000004</v>
      </c>
    </row>
    <row r="32" spans="3:10" ht="19" x14ac:dyDescent="0.25">
      <c r="C32" s="26" t="s">
        <v>192</v>
      </c>
      <c r="D32" s="26">
        <v>0.30099999999999999</v>
      </c>
      <c r="E32" s="27" t="s">
        <v>131</v>
      </c>
    </row>
    <row r="33" spans="3:22" ht="19" x14ac:dyDescent="0.25">
      <c r="C33" s="28" t="s">
        <v>193</v>
      </c>
      <c r="D33" s="28">
        <v>25</v>
      </c>
      <c r="E33" s="27" t="s">
        <v>131</v>
      </c>
      <c r="J33" t="s">
        <v>214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194</v>
      </c>
      <c r="D34" s="28">
        <v>5</v>
      </c>
      <c r="E34" s="27" t="s">
        <v>131</v>
      </c>
      <c r="J34" t="s">
        <v>221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191</v>
      </c>
      <c r="J35" t="s">
        <v>217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195</v>
      </c>
      <c r="D36" s="30">
        <f>D35*D34*LOG(D33/D34,2.718)</f>
        <v>273.94136785339589</v>
      </c>
      <c r="E36" s="27" t="s">
        <v>196</v>
      </c>
      <c r="J36" t="s">
        <v>218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215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208</v>
      </c>
      <c r="J38" t="s">
        <v>216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190</v>
      </c>
      <c r="D39" s="26">
        <v>30</v>
      </c>
      <c r="E39" s="27" t="s">
        <v>191</v>
      </c>
      <c r="J39" t="s">
        <v>219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192</v>
      </c>
      <c r="D40" s="26">
        <v>0.30099999999999999</v>
      </c>
      <c r="E40" s="27" t="s">
        <v>131</v>
      </c>
      <c r="J40" t="s">
        <v>220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193</v>
      </c>
      <c r="D41" s="28">
        <v>25</v>
      </c>
      <c r="E41" s="27" t="s">
        <v>131</v>
      </c>
    </row>
    <row r="42" spans="3:22" ht="19" x14ac:dyDescent="0.25">
      <c r="C42" s="28" t="s">
        <v>194</v>
      </c>
      <c r="D42" s="28">
        <v>1</v>
      </c>
      <c r="E42" s="27" t="s">
        <v>131</v>
      </c>
      <c r="J42" t="s">
        <v>242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191</v>
      </c>
      <c r="I43" s="31" t="s">
        <v>244</v>
      </c>
      <c r="J43" t="s">
        <v>214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195</v>
      </c>
      <c r="D44" s="30">
        <f>D43*D42*LOG(D41/D42,2.718)</f>
        <v>125.64575093270162</v>
      </c>
      <c r="E44" s="27" t="s">
        <v>196</v>
      </c>
      <c r="J44" t="s">
        <v>245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221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243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240</v>
      </c>
      <c r="J47" t="s">
        <v>246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190</v>
      </c>
      <c r="D48" s="26">
        <v>30</v>
      </c>
      <c r="E48" s="27" t="s">
        <v>191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192</v>
      </c>
      <c r="D49" s="26">
        <v>0.30099999999999999</v>
      </c>
      <c r="E49" s="27" t="s">
        <v>131</v>
      </c>
    </row>
    <row r="50" spans="3:5" ht="19" x14ac:dyDescent="0.25">
      <c r="C50" s="28" t="s">
        <v>193</v>
      </c>
      <c r="D50" s="28">
        <v>3.7</v>
      </c>
      <c r="E50" s="27" t="s">
        <v>131</v>
      </c>
    </row>
    <row r="51" spans="3:5" ht="19" x14ac:dyDescent="0.25">
      <c r="C51" s="28" t="s">
        <v>194</v>
      </c>
      <c r="D51" s="28">
        <v>0.6</v>
      </c>
      <c r="E51" s="27" t="s">
        <v>131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191</v>
      </c>
    </row>
    <row r="53" spans="3:5" ht="19" x14ac:dyDescent="0.25">
      <c r="C53" s="29" t="s">
        <v>195</v>
      </c>
      <c r="D53" s="30">
        <f>D52*D51*LOG(D50/D51,2.718)</f>
        <v>45.473866968206337</v>
      </c>
      <c r="E53" s="27" t="s">
        <v>196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247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248</v>
      </c>
    </row>
    <row r="76" spans="10:14" x14ac:dyDescent="0.2">
      <c r="J76" t="s">
        <v>249</v>
      </c>
    </row>
    <row r="78" spans="10:14" x14ac:dyDescent="0.2">
      <c r="J78" t="s">
        <v>250</v>
      </c>
    </row>
    <row r="79" spans="10:14" x14ac:dyDescent="0.2">
      <c r="J79" t="s">
        <v>251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222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223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227</v>
      </c>
      <c r="D6" t="s">
        <v>228</v>
      </c>
      <c r="E6">
        <v>139439</v>
      </c>
    </row>
    <row r="7" spans="3:5" x14ac:dyDescent="0.2">
      <c r="C7" t="s">
        <v>227</v>
      </c>
      <c r="D7" t="s">
        <v>228</v>
      </c>
      <c r="E7">
        <v>139471</v>
      </c>
    </row>
    <row r="8" spans="3:5" x14ac:dyDescent="0.2">
      <c r="C8" t="s">
        <v>227</v>
      </c>
      <c r="D8" t="s">
        <v>228</v>
      </c>
      <c r="E8">
        <v>139341</v>
      </c>
    </row>
    <row r="9" spans="3:5" x14ac:dyDescent="0.2">
      <c r="C9" t="s">
        <v>227</v>
      </c>
      <c r="D9" t="s">
        <v>228</v>
      </c>
      <c r="E9">
        <v>139430</v>
      </c>
    </row>
    <row r="10" spans="3:5" x14ac:dyDescent="0.2">
      <c r="C10" t="s">
        <v>227</v>
      </c>
      <c r="D10" t="s">
        <v>228</v>
      </c>
      <c r="E10">
        <v>139415</v>
      </c>
    </row>
    <row r="11" spans="3:5" x14ac:dyDescent="0.2">
      <c r="C11" t="s">
        <v>227</v>
      </c>
      <c r="D11" t="s">
        <v>228</v>
      </c>
      <c r="E11">
        <v>139436</v>
      </c>
    </row>
    <row r="12" spans="3:5" x14ac:dyDescent="0.2">
      <c r="C12" t="s">
        <v>227</v>
      </c>
      <c r="D12" t="s">
        <v>228</v>
      </c>
      <c r="E12">
        <v>139456</v>
      </c>
    </row>
    <row r="13" spans="3:5" x14ac:dyDescent="0.2">
      <c r="C13" t="s">
        <v>227</v>
      </c>
      <c r="D13" t="s">
        <v>228</v>
      </c>
      <c r="E13">
        <v>139436</v>
      </c>
    </row>
    <row r="14" spans="3:5" x14ac:dyDescent="0.2">
      <c r="C14" t="s">
        <v>227</v>
      </c>
      <c r="D14" t="s">
        <v>228</v>
      </c>
      <c r="E14">
        <v>139461</v>
      </c>
    </row>
    <row r="15" spans="3:5" x14ac:dyDescent="0.2">
      <c r="C15" t="s">
        <v>227</v>
      </c>
      <c r="D15" t="s">
        <v>228</v>
      </c>
      <c r="E15">
        <v>139455</v>
      </c>
    </row>
    <row r="16" spans="3:5" x14ac:dyDescent="0.2">
      <c r="C16" t="s">
        <v>227</v>
      </c>
      <c r="D16" t="s">
        <v>228</v>
      </c>
      <c r="E16">
        <v>139435</v>
      </c>
    </row>
    <row r="17" spans="3:6" x14ac:dyDescent="0.2">
      <c r="C17" t="s">
        <v>227</v>
      </c>
      <c r="D17" t="s">
        <v>228</v>
      </c>
      <c r="E17">
        <v>139454</v>
      </c>
    </row>
    <row r="18" spans="3:6" x14ac:dyDescent="0.2">
      <c r="C18" t="s">
        <v>227</v>
      </c>
      <c r="D18" t="s">
        <v>228</v>
      </c>
      <c r="E18">
        <v>139432</v>
      </c>
    </row>
    <row r="19" spans="3:6" x14ac:dyDescent="0.2">
      <c r="C19" t="s">
        <v>227</v>
      </c>
      <c r="D19" t="s">
        <v>228</v>
      </c>
      <c r="E19">
        <v>139452</v>
      </c>
    </row>
    <row r="20" spans="3:6" x14ac:dyDescent="0.2">
      <c r="C20" t="s">
        <v>227</v>
      </c>
      <c r="D20" t="s">
        <v>228</v>
      </c>
      <c r="E20">
        <v>139444</v>
      </c>
    </row>
    <row r="21" spans="3:6" x14ac:dyDescent="0.2">
      <c r="C21" t="s">
        <v>227</v>
      </c>
      <c r="D21" t="s">
        <v>228</v>
      </c>
      <c r="E21">
        <v>139409</v>
      </c>
    </row>
    <row r="22" spans="3:6" x14ac:dyDescent="0.2">
      <c r="C22" t="s">
        <v>227</v>
      </c>
      <c r="D22" t="s">
        <v>228</v>
      </c>
      <c r="E22">
        <v>139463</v>
      </c>
    </row>
    <row r="23" spans="3:6" x14ac:dyDescent="0.2">
      <c r="C23" t="s">
        <v>227</v>
      </c>
      <c r="D23" t="s">
        <v>228</v>
      </c>
      <c r="E23">
        <v>139417</v>
      </c>
    </row>
    <row r="24" spans="3:6" x14ac:dyDescent="0.2">
      <c r="C24" t="s">
        <v>227</v>
      </c>
      <c r="D24" t="s">
        <v>228</v>
      </c>
      <c r="E24">
        <v>139439</v>
      </c>
    </row>
    <row r="25" spans="3:6" x14ac:dyDescent="0.2">
      <c r="C25" t="s">
        <v>227</v>
      </c>
      <c r="D25" t="s">
        <v>228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227</v>
      </c>
      <c r="D28" t="s">
        <v>228</v>
      </c>
      <c r="E28">
        <v>502546</v>
      </c>
    </row>
    <row r="29" spans="3:6" x14ac:dyDescent="0.2">
      <c r="C29" t="s">
        <v>227</v>
      </c>
      <c r="D29" t="s">
        <v>228</v>
      </c>
      <c r="E29">
        <v>502494</v>
      </c>
    </row>
    <row r="30" spans="3:6" x14ac:dyDescent="0.2">
      <c r="C30" t="s">
        <v>227</v>
      </c>
      <c r="D30" t="s">
        <v>228</v>
      </c>
      <c r="E30">
        <v>502548</v>
      </c>
    </row>
    <row r="31" spans="3:6" x14ac:dyDescent="0.2">
      <c r="C31" t="s">
        <v>227</v>
      </c>
      <c r="D31" t="s">
        <v>228</v>
      </c>
      <c r="E31">
        <v>502442</v>
      </c>
    </row>
    <row r="32" spans="3:6" x14ac:dyDescent="0.2">
      <c r="C32" t="s">
        <v>227</v>
      </c>
      <c r="D32" t="s">
        <v>228</v>
      </c>
      <c r="E32">
        <v>502516</v>
      </c>
    </row>
    <row r="33" spans="3:9" x14ac:dyDescent="0.2">
      <c r="C33" t="s">
        <v>227</v>
      </c>
      <c r="D33" t="s">
        <v>228</v>
      </c>
      <c r="E33">
        <v>502508</v>
      </c>
    </row>
    <row r="34" spans="3:9" x14ac:dyDescent="0.2">
      <c r="C34" t="s">
        <v>227</v>
      </c>
      <c r="D34" t="s">
        <v>228</v>
      </c>
      <c r="E34">
        <v>502500</v>
      </c>
    </row>
    <row r="35" spans="3:9" x14ac:dyDescent="0.2">
      <c r="C35" t="s">
        <v>227</v>
      </c>
      <c r="D35" t="s">
        <v>228</v>
      </c>
      <c r="E35">
        <v>502542</v>
      </c>
    </row>
    <row r="36" spans="3:9" x14ac:dyDescent="0.2">
      <c r="C36" t="s">
        <v>227</v>
      </c>
      <c r="D36" t="s">
        <v>228</v>
      </c>
      <c r="E36">
        <v>502523</v>
      </c>
    </row>
    <row r="37" spans="3:9" x14ac:dyDescent="0.2">
      <c r="C37" t="s">
        <v>227</v>
      </c>
      <c r="D37" t="s">
        <v>228</v>
      </c>
      <c r="E37">
        <v>502559</v>
      </c>
    </row>
    <row r="38" spans="3:9" x14ac:dyDescent="0.2">
      <c r="C38" t="s">
        <v>227</v>
      </c>
      <c r="D38" t="s">
        <v>228</v>
      </c>
      <c r="E38">
        <v>502555</v>
      </c>
    </row>
    <row r="39" spans="3:9" x14ac:dyDescent="0.2">
      <c r="C39" t="s">
        <v>227</v>
      </c>
      <c r="D39" t="s">
        <v>228</v>
      </c>
      <c r="E39">
        <v>502494</v>
      </c>
    </row>
    <row r="40" spans="3:9" x14ac:dyDescent="0.2">
      <c r="C40" t="s">
        <v>227</v>
      </c>
      <c r="D40" t="s">
        <v>228</v>
      </c>
      <c r="E40">
        <v>502541</v>
      </c>
    </row>
    <row r="41" spans="3:9" x14ac:dyDescent="0.2">
      <c r="C41" t="s">
        <v>227</v>
      </c>
      <c r="D41" t="s">
        <v>228</v>
      </c>
      <c r="E41">
        <v>502520</v>
      </c>
    </row>
    <row r="42" spans="3:9" x14ac:dyDescent="0.2">
      <c r="C42" t="s">
        <v>227</v>
      </c>
      <c r="D42" t="s">
        <v>228</v>
      </c>
      <c r="E42">
        <v>502450</v>
      </c>
    </row>
    <row r="43" spans="3:9" x14ac:dyDescent="0.2">
      <c r="C43" t="s">
        <v>227</v>
      </c>
      <c r="D43" t="s">
        <v>228</v>
      </c>
      <c r="E43">
        <v>502461</v>
      </c>
    </row>
    <row r="44" spans="3:9" x14ac:dyDescent="0.2">
      <c r="C44" t="s">
        <v>227</v>
      </c>
      <c r="D44" t="s">
        <v>228</v>
      </c>
      <c r="E44">
        <v>502502</v>
      </c>
    </row>
    <row r="45" spans="3:9" x14ac:dyDescent="0.2">
      <c r="C45" t="s">
        <v>227</v>
      </c>
      <c r="D45" t="s">
        <v>228</v>
      </c>
      <c r="E45">
        <v>502492</v>
      </c>
    </row>
    <row r="46" spans="3:9" x14ac:dyDescent="0.2">
      <c r="C46" t="s">
        <v>227</v>
      </c>
      <c r="D46" t="s">
        <v>228</v>
      </c>
      <c r="E46">
        <v>502460</v>
      </c>
    </row>
    <row r="47" spans="3:9" x14ac:dyDescent="0.2">
      <c r="C47" t="s">
        <v>227</v>
      </c>
      <c r="D47" t="s">
        <v>228</v>
      </c>
      <c r="E47">
        <v>502500</v>
      </c>
    </row>
    <row r="48" spans="3:9" x14ac:dyDescent="0.2">
      <c r="C48" t="s">
        <v>227</v>
      </c>
      <c r="D48" t="s">
        <v>228</v>
      </c>
      <c r="E48">
        <v>502515</v>
      </c>
      <c r="H48" s="5">
        <f>F25</f>
        <v>139432.70000000001</v>
      </c>
      <c r="I48" t="s">
        <v>222</v>
      </c>
    </row>
    <row r="49" spans="3:9" x14ac:dyDescent="0.2">
      <c r="C49" t="s">
        <v>227</v>
      </c>
      <c r="D49" t="s">
        <v>228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229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2022-12-18T20:10:50Z</dcterms:modified>
</cp:coreProperties>
</file>