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O24U/documents/"/>
    </mc:Choice>
  </mc:AlternateContent>
  <xr:revisionPtr revIDLastSave="0" documentId="13_ncr:1_{99DA8848-7C80-2940-BFDF-D67B265100FA}" xr6:coauthVersionLast="36" xr6:coauthVersionMax="36" xr10:uidLastSave="{00000000-0000-0000-0000-000000000000}"/>
  <bookViews>
    <workbookView xWindow="2560" yWindow="500" windowWidth="25120" windowHeight="16820" tabRatio="500" xr2:uid="{00000000-000D-0000-FFFF-FFFF00000000}"/>
  </bookViews>
  <sheets>
    <sheet name="Volume" sheetId="1" r:id="rId1"/>
    <sheet name="intercooler" sheetId="10" r:id="rId2"/>
    <sheet name="Heater" sheetId="6" r:id="rId3"/>
    <sheet name="Valves" sheetId="2" r:id="rId4"/>
    <sheet name="Materials" sheetId="9" r:id="rId5"/>
    <sheet name="Things I have built" sheetId="7" r:id="rId6"/>
    <sheet name="vacuum +velocity" sheetId="5" r:id="rId7"/>
    <sheet name="Column HW" sheetId="8" r:id="rId8"/>
    <sheet name="electrical" sheetId="3" r:id="rId9"/>
    <sheet name="bom" sheetId="4" r:id="rId10"/>
    <sheet name="EquipmentList" sheetId="11" r:id="rId11"/>
    <sheet name="RTU config" sheetId="12" r:id="rId12"/>
    <sheet name="O2 RTU" sheetId="13" r:id="rId13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L7" i="1"/>
  <c r="E31" i="13" l="1"/>
  <c r="C21" i="10" l="1"/>
  <c r="C22" i="10"/>
  <c r="C19" i="10"/>
  <c r="C17" i="10" l="1"/>
  <c r="C14" i="10"/>
  <c r="C13" i="10"/>
  <c r="C15" i="10" l="1"/>
  <c r="C15" i="1"/>
  <c r="E15" i="1" s="1"/>
  <c r="G15" i="1" s="1"/>
  <c r="H15" i="1" s="1"/>
  <c r="I15" i="1" s="1"/>
  <c r="D15" i="1"/>
  <c r="C7" i="1"/>
  <c r="D7" i="1"/>
  <c r="E7" i="1"/>
  <c r="G7" i="1" s="1"/>
  <c r="H7" i="1" s="1"/>
  <c r="I7" i="1" s="1"/>
  <c r="K14" i="1"/>
  <c r="C21" i="1"/>
  <c r="D21" i="1"/>
  <c r="E21" i="1" s="1"/>
  <c r="G21" i="1" s="1"/>
  <c r="H21" i="1" s="1"/>
  <c r="I21" i="1" s="1"/>
  <c r="L28" i="1"/>
  <c r="L30" i="1"/>
  <c r="C20" i="1"/>
  <c r="D20" i="1"/>
  <c r="E20" i="1" s="1"/>
  <c r="G20" i="1" s="1"/>
  <c r="H20" i="1" s="1"/>
  <c r="I20" i="1" s="1"/>
  <c r="C18" i="1"/>
  <c r="E18" i="1" s="1"/>
  <c r="G18" i="1" s="1"/>
  <c r="H18" i="1" s="1"/>
  <c r="I18" i="1" s="1"/>
  <c r="D18" i="1"/>
  <c r="C11" i="1"/>
  <c r="D11" i="1"/>
  <c r="E11" i="1" s="1"/>
  <c r="G11" i="1" s="1"/>
  <c r="H11" i="1" s="1"/>
  <c r="I11" i="1" s="1"/>
  <c r="C13" i="1"/>
  <c r="E13" i="1" s="1"/>
  <c r="G13" i="1" s="1"/>
  <c r="H13" i="1" s="1"/>
  <c r="I13" i="1" s="1"/>
  <c r="D13" i="1"/>
  <c r="C9" i="1"/>
  <c r="D9" i="1"/>
  <c r="E9" i="1" s="1"/>
  <c r="G9" i="1" s="1"/>
  <c r="H9" i="1" s="1"/>
  <c r="I9" i="1" s="1"/>
  <c r="D14" i="1"/>
  <c r="C14" i="1"/>
  <c r="E14" i="1" s="1"/>
  <c r="G14" i="1" s="1"/>
  <c r="H14" i="1" s="1"/>
  <c r="I14" i="1" s="1"/>
  <c r="C6" i="1"/>
  <c r="D6" i="1"/>
  <c r="E6" i="1" s="1"/>
  <c r="G6" i="1" s="1"/>
  <c r="H6" i="1" s="1"/>
  <c r="I6" i="1" s="1"/>
  <c r="C10" i="1"/>
  <c r="E10" i="1" s="1"/>
  <c r="G10" i="1" s="1"/>
  <c r="H10" i="1" s="1"/>
  <c r="I10" i="1" s="1"/>
  <c r="D10" i="1"/>
  <c r="C12" i="1"/>
  <c r="D12" i="1"/>
  <c r="E12" i="1" s="1"/>
  <c r="G12" i="1" s="1"/>
  <c r="H12" i="1" s="1"/>
  <c r="I12" i="1" s="1"/>
  <c r="L35" i="3"/>
  <c r="L34" i="3"/>
  <c r="L29" i="3"/>
  <c r="L30" i="3"/>
  <c r="L31" i="3"/>
  <c r="L32" i="3"/>
  <c r="L33" i="3"/>
  <c r="L28" i="3"/>
  <c r="I16" i="3"/>
  <c r="I17" i="3"/>
  <c r="I22" i="3" s="1"/>
  <c r="I18" i="3"/>
  <c r="I19" i="3"/>
  <c r="I20" i="3"/>
  <c r="I21" i="3"/>
  <c r="I15" i="3"/>
  <c r="H22" i="3"/>
  <c r="B6" i="5"/>
  <c r="F11" i="5"/>
  <c r="G11" i="5"/>
  <c r="E11" i="5"/>
  <c r="G7" i="5"/>
  <c r="G8" i="5" s="1"/>
  <c r="G9" i="5" s="1"/>
  <c r="F7" i="5"/>
  <c r="F8" i="5"/>
  <c r="F9" i="5" s="1"/>
  <c r="F12" i="5" s="1"/>
  <c r="F13" i="5" s="1"/>
  <c r="B7" i="5"/>
  <c r="B8" i="5" s="1"/>
  <c r="B9" i="5" s="1"/>
  <c r="B12" i="5" s="1"/>
  <c r="B13" i="5" s="1"/>
  <c r="E7" i="5"/>
  <c r="E8" i="5"/>
  <c r="E9" i="5" s="1"/>
  <c r="E12" i="5" s="1"/>
  <c r="E13" i="5" s="1"/>
  <c r="C37" i="5"/>
  <c r="C32" i="5"/>
  <c r="C33" i="5" s="1"/>
  <c r="M11" i="8"/>
  <c r="K6" i="8"/>
  <c r="K7" i="8"/>
  <c r="K8" i="8"/>
  <c r="K9" i="8"/>
  <c r="K10" i="8"/>
  <c r="K12" i="8"/>
  <c r="J11" i="8"/>
  <c r="K11" i="8" s="1"/>
  <c r="G7" i="8"/>
  <c r="G8" i="8"/>
  <c r="G9" i="8"/>
  <c r="G10" i="8"/>
  <c r="G11" i="8"/>
  <c r="G12" i="8"/>
  <c r="G6" i="8"/>
  <c r="G13" i="8" s="1"/>
  <c r="F11" i="8"/>
  <c r="E26" i="5"/>
  <c r="D19" i="5"/>
  <c r="B19" i="5" s="1"/>
  <c r="E21" i="3"/>
  <c r="E15" i="3"/>
  <c r="E22" i="3" s="1"/>
  <c r="E16" i="3"/>
  <c r="E17" i="3"/>
  <c r="F17" i="3" s="1"/>
  <c r="E18" i="3"/>
  <c r="E19" i="3"/>
  <c r="F19" i="3" s="1"/>
  <c r="F21" i="3"/>
  <c r="F16" i="3"/>
  <c r="F18" i="3"/>
  <c r="F20" i="3"/>
  <c r="F14" i="2"/>
  <c r="I10" i="2"/>
  <c r="I14" i="2" s="1"/>
  <c r="I11" i="2"/>
  <c r="I13" i="2" s="1"/>
  <c r="C13" i="2"/>
  <c r="K10" i="2"/>
  <c r="K11" i="2"/>
  <c r="K14" i="2" s="1"/>
  <c r="K13" i="2"/>
  <c r="L10" i="2"/>
  <c r="L13" i="2" s="1"/>
  <c r="L11" i="2"/>
  <c r="M10" i="2"/>
  <c r="M14" i="2" s="1"/>
  <c r="M11" i="2"/>
  <c r="C10" i="2"/>
  <c r="C11" i="2"/>
  <c r="C14" i="2" s="1"/>
  <c r="D10" i="2"/>
  <c r="D14" i="2" s="1"/>
  <c r="D11" i="2"/>
  <c r="E10" i="2"/>
  <c r="E14" i="2" s="1"/>
  <c r="E11" i="2"/>
  <c r="F10" i="2"/>
  <c r="F11" i="2"/>
  <c r="F13" i="2"/>
  <c r="G10" i="2"/>
  <c r="G14" i="2" s="1"/>
  <c r="G11" i="2"/>
  <c r="G13" i="2"/>
  <c r="H10" i="2"/>
  <c r="H14" i="2" s="1"/>
  <c r="H11" i="2"/>
  <c r="L19" i="1"/>
  <c r="L14" i="1"/>
  <c r="D13" i="6"/>
  <c r="D16" i="6"/>
  <c r="E8" i="3"/>
  <c r="B8" i="3"/>
  <c r="C19" i="1"/>
  <c r="D19" i="1"/>
  <c r="E19" i="1"/>
  <c r="G19" i="1" s="1"/>
  <c r="H19" i="1" s="1"/>
  <c r="I19" i="1" s="1"/>
  <c r="D17" i="1"/>
  <c r="E17" i="1" s="1"/>
  <c r="G17" i="1" s="1"/>
  <c r="H17" i="1" s="1"/>
  <c r="I17" i="1" s="1"/>
  <c r="C17" i="1"/>
  <c r="C24" i="1"/>
  <c r="D24" i="1"/>
  <c r="E24" i="1"/>
  <c r="G24" i="1" s="1"/>
  <c r="H24" i="1" s="1"/>
  <c r="I24" i="1" s="1"/>
  <c r="C23" i="1"/>
  <c r="E23" i="1" s="1"/>
  <c r="D23" i="1"/>
  <c r="C16" i="10" l="1"/>
  <c r="C23" i="10"/>
  <c r="G12" i="5"/>
  <c r="G13" i="5" s="1"/>
  <c r="B26" i="5"/>
  <c r="B23" i="5"/>
  <c r="K13" i="8"/>
  <c r="L14" i="2"/>
  <c r="H13" i="2"/>
  <c r="D13" i="2"/>
  <c r="E13" i="2"/>
  <c r="M13" i="2"/>
  <c r="F15" i="3"/>
  <c r="F22" i="3" s="1"/>
</calcChain>
</file>

<file path=xl/sharedStrings.xml><?xml version="1.0" encoding="utf-8"?>
<sst xmlns="http://schemas.openxmlformats.org/spreadsheetml/2006/main" count="962" uniqueCount="704">
  <si>
    <t>liters</t>
  </si>
  <si>
    <t>id</t>
  </si>
  <si>
    <t>length</t>
  </si>
  <si>
    <t>http://www.adsorbentcn.com/13x.htm</t>
  </si>
  <si>
    <t>kg/m^3</t>
  </si>
  <si>
    <t>13x</t>
  </si>
  <si>
    <t>kg</t>
  </si>
  <si>
    <t>kgtotal</t>
  </si>
  <si>
    <t>lbs</t>
  </si>
  <si>
    <t>https://www.ncbi.nlm.nih.gov/pmc/articles/PMC5575677/</t>
  </si>
  <si>
    <t>Valve Cv</t>
  </si>
  <si>
    <t>G</t>
  </si>
  <si>
    <t>T</t>
  </si>
  <si>
    <t>Pu</t>
  </si>
  <si>
    <t>Pd</t>
  </si>
  <si>
    <t>Cv</t>
  </si>
  <si>
    <t>SCFH</t>
  </si>
  <si>
    <t>Qc</t>
  </si>
  <si>
    <t>l/min</t>
  </si>
  <si>
    <t>PSIG</t>
  </si>
  <si>
    <t>Q</t>
  </si>
  <si>
    <t>Qs</t>
  </si>
  <si>
    <t>DegF</t>
  </si>
  <si>
    <t>SpGr</t>
  </si>
  <si>
    <t>http://www.fnwvalve.com/FNWValve/assets/images/PDFs/FNW/tech_AboutCv.pdf</t>
  </si>
  <si>
    <t>O2 Delivery</t>
  </si>
  <si>
    <t>Air Recycle control valve</t>
  </si>
  <si>
    <t>Air Supply Regulator</t>
  </si>
  <si>
    <t>Check Valve</t>
  </si>
  <si>
    <t>Fill valve</t>
  </si>
  <si>
    <t>Purge valve</t>
  </si>
  <si>
    <t>Backpressure valve</t>
  </si>
  <si>
    <t>O2 Valve</t>
  </si>
  <si>
    <t>ohms</t>
  </si>
  <si>
    <t>amps</t>
  </si>
  <si>
    <t>volts</t>
  </si>
  <si>
    <t>RackBase</t>
  </si>
  <si>
    <t>Pump</t>
  </si>
  <si>
    <t>Air inlet filter</t>
  </si>
  <si>
    <t>Filter mounting adapter</t>
  </si>
  <si>
    <t>Pump inlet hose fitting</t>
  </si>
  <si>
    <t>Pump outlet tee</t>
  </si>
  <si>
    <t>pressure relief valve</t>
  </si>
  <si>
    <t xml:space="preserve">pump outlet hose fitting </t>
  </si>
  <si>
    <t>Condenser core</t>
  </si>
  <si>
    <t>Condenser fan plate</t>
  </si>
  <si>
    <t>Condenser mounting brackets</t>
  </si>
  <si>
    <t>Condenser frame assy</t>
  </si>
  <si>
    <t>Condenser fan</t>
  </si>
  <si>
    <t>Condenser inlet hose assy</t>
  </si>
  <si>
    <t>Condenser outlet hose assy</t>
  </si>
  <si>
    <t>Separator inlet tee</t>
  </si>
  <si>
    <t>Separator inlet hose fitting</t>
  </si>
  <si>
    <t>Separator inlet temperature probe</t>
  </si>
  <si>
    <t>Separator outlet nipple</t>
  </si>
  <si>
    <t>Pressure tap tee</t>
  </si>
  <si>
    <t>Micron filter inlet nipple</t>
  </si>
  <si>
    <t>Micron filter outlet fitting</t>
  </si>
  <si>
    <t>Separator inlet mount bracket</t>
  </si>
  <si>
    <t>Micron filter mount bracket</t>
  </si>
  <si>
    <t>Control valve adapter</t>
  </si>
  <si>
    <t>Control valve inlet nipple</t>
  </si>
  <si>
    <t xml:space="preserve">Control Valve  </t>
  </si>
  <si>
    <t>Bacpressure regulator inlet nipple</t>
  </si>
  <si>
    <t>Bacpkpressure regulator</t>
  </si>
  <si>
    <t>Backpressure regulator outlet hose adapter</t>
  </si>
  <si>
    <t>Pump inlet hose clamps</t>
  </si>
  <si>
    <t>Condenser</t>
  </si>
  <si>
    <t>Sep+Filter</t>
  </si>
  <si>
    <t>Backpressure</t>
  </si>
  <si>
    <t>Frame</t>
  </si>
  <si>
    <t>Backpressure outlet hose</t>
  </si>
  <si>
    <t>Backpressure outlet hose clamps</t>
  </si>
  <si>
    <t>Pump inlet hose tee</t>
  </si>
  <si>
    <t>Pump inlet hose sections</t>
  </si>
  <si>
    <t>Flow Manifold</t>
  </si>
  <si>
    <t>Manifold block</t>
  </si>
  <si>
    <t>Inlet fitting</t>
  </si>
  <si>
    <t>Inlet pipe</t>
  </si>
  <si>
    <t>Mass Flow sensor</t>
  </si>
  <si>
    <t>Base thread inserts</t>
  </si>
  <si>
    <t>Base bolts + lock washers + washers</t>
  </si>
  <si>
    <t>Condenser grille screen</t>
  </si>
  <si>
    <t>instrument air fitting</t>
  </si>
  <si>
    <t>Pressure sensor</t>
  </si>
  <si>
    <t>Mounting screws for manifold</t>
  </si>
  <si>
    <t>Mounting screws for MFS</t>
  </si>
  <si>
    <t>Bracket mounting screws</t>
  </si>
  <si>
    <t>Condenser bracket screws</t>
  </si>
  <si>
    <t>Pump mounting tabs</t>
  </si>
  <si>
    <t>Pump mounting bolts and nuts</t>
  </si>
  <si>
    <t>Caster mounting screws</t>
  </si>
  <si>
    <t>Panel mounting screws</t>
  </si>
  <si>
    <t>Outlet pipe</t>
  </si>
  <si>
    <t>Crossover fittings</t>
  </si>
  <si>
    <t>Column inlet</t>
  </si>
  <si>
    <t>Crossover pipe</t>
  </si>
  <si>
    <t>Check valve inlet fitting</t>
  </si>
  <si>
    <t>Check valve outlet fitting</t>
  </si>
  <si>
    <t>Check valve outlet pipe</t>
  </si>
  <si>
    <t>Cross column manifold pipe</t>
  </si>
  <si>
    <t>Column 2 inlet Tee</t>
  </si>
  <si>
    <t>Column 1 inlet Elbow</t>
  </si>
  <si>
    <t>Supply and Exhaust</t>
  </si>
  <si>
    <t>Solenoid valves</t>
  </si>
  <si>
    <t>Exhause muffler/bleeders</t>
  </si>
  <si>
    <t>short solenoid bracket</t>
  </si>
  <si>
    <t>long solenoid brackets</t>
  </si>
  <si>
    <t>Solenoid bracket mounting screws</t>
  </si>
  <si>
    <t>Solenoid mounting screws</t>
  </si>
  <si>
    <t>Columns</t>
  </si>
  <si>
    <t>Filter housings</t>
  </si>
  <si>
    <t>Supply and Exhaust elbows</t>
  </si>
  <si>
    <t>Column top hangers</t>
  </si>
  <si>
    <t>Column hanger mounting screws</t>
  </si>
  <si>
    <t>Column mounting screws</t>
  </si>
  <si>
    <t>Column bottom brackets</t>
  </si>
  <si>
    <t>Internal outlet diffusers</t>
  </si>
  <si>
    <t>Internal inlet diffusers</t>
  </si>
  <si>
    <t>Internal media separators</t>
  </si>
  <si>
    <t>Column outlet fittings</t>
  </si>
  <si>
    <t>Column outlet pipes</t>
  </si>
  <si>
    <t>Outlet distributor tees</t>
  </si>
  <si>
    <t>Purge check valves</t>
  </si>
  <si>
    <t>Outlet pipe tee adapter</t>
  </si>
  <si>
    <t>Outlet solenoid valves</t>
  </si>
  <si>
    <t>Outlet solenoid 1 elbow</t>
  </si>
  <si>
    <t>Outlet solenoud 2 tee</t>
  </si>
  <si>
    <t>Outlet cross pipe</t>
  </si>
  <si>
    <t>Tube Union Couplers</t>
  </si>
  <si>
    <t>Tube union fittings</t>
  </si>
  <si>
    <t>Column 2 Tee</t>
  </si>
  <si>
    <t>Purge cross pipe</t>
  </si>
  <si>
    <t>Purge flowmeter</t>
  </si>
  <si>
    <t>Purge flowmeter outlet fitting Elbow</t>
  </si>
  <si>
    <t>Column 1 Elbow</t>
  </si>
  <si>
    <t>Purge feed pipe 90</t>
  </si>
  <si>
    <t>O2 tank feed pipe</t>
  </si>
  <si>
    <t>Purge Flowmeter inlet street tee</t>
  </si>
  <si>
    <t>Outlet flare union fitting to purge inlet Tee</t>
  </si>
  <si>
    <t>Tube 90 fitting for feed pipe from purge tee</t>
  </si>
  <si>
    <t>O2 tank inlet tee</t>
  </si>
  <si>
    <t>O2 tank inlet fitting</t>
  </si>
  <si>
    <t>O2 tank sample tap fitting</t>
  </si>
  <si>
    <t>O2 tank sample tap needle valve</t>
  </si>
  <si>
    <t>O2 sample tap hose barb</t>
  </si>
  <si>
    <t>O2 tank</t>
  </si>
  <si>
    <t>Purge gas</t>
  </si>
  <si>
    <t>O2 tank trheaded reducers</t>
  </si>
  <si>
    <t>O2 tank outlet fitting</t>
  </si>
  <si>
    <t>O2 tank pressure sensor</t>
  </si>
  <si>
    <t>O2 tank lower bracket</t>
  </si>
  <si>
    <t>O2 delivery circuit</t>
  </si>
  <si>
    <t>O2 tank outlet pipe</t>
  </si>
  <si>
    <t>O2 regulator inlet elbow</t>
  </si>
  <si>
    <t>O2 regulator outlet tee</t>
  </si>
  <si>
    <t>O2 regulator pressure sensor</t>
  </si>
  <si>
    <t>O2 regulator outler hose barb</t>
  </si>
  <si>
    <t>O2 regulator</t>
  </si>
  <si>
    <t>O2 regulator 10-32 adapters</t>
  </si>
  <si>
    <t>O2 flowmeter</t>
  </si>
  <si>
    <t>O2 flowmater inlet hose</t>
  </si>
  <si>
    <t>O2 check valve</t>
  </si>
  <si>
    <t>O2 flowmeter outlet hose sections</t>
  </si>
  <si>
    <t>O2 outlet filter</t>
  </si>
  <si>
    <t>O2 delivery adapter</t>
  </si>
  <si>
    <t>O2 delivery hose clamps</t>
  </si>
  <si>
    <t>O2 flowmeter mounting bracket</t>
  </si>
  <si>
    <t>I/P transducer</t>
  </si>
  <si>
    <t>I/P inlet fitting</t>
  </si>
  <si>
    <t>I/P inlet pipe</t>
  </si>
  <si>
    <t>I/P outlet fitting</t>
  </si>
  <si>
    <t>I/P outlet pipe</t>
  </si>
  <si>
    <t>Control valve air inlet fitting</t>
  </si>
  <si>
    <t>Outlet fitting</t>
  </si>
  <si>
    <t>Controls</t>
  </si>
  <si>
    <t>IEC fused filtered power inlet</t>
  </si>
  <si>
    <t>IEC power cable US</t>
  </si>
  <si>
    <t>18/3 SO cable for power and motor feed</t>
  </si>
  <si>
    <t xml:space="preserve">DIN rail </t>
  </si>
  <si>
    <t>DIN rail terminal block</t>
  </si>
  <si>
    <t>DIN rail raspberry Pi enclosure</t>
  </si>
  <si>
    <t>DIN rail power supply 5V</t>
  </si>
  <si>
    <t>DIN rail power supply 12V</t>
  </si>
  <si>
    <t>DIN rail RTU assembly</t>
  </si>
  <si>
    <t>DIN rail AC SSR for pump control</t>
  </si>
  <si>
    <t>DIN rail DC SSR for fan control</t>
  </si>
  <si>
    <t>DIN rail DC SSR for solenoid valve</t>
  </si>
  <si>
    <t>DIN rail PID controller multi-input</t>
  </si>
  <si>
    <t>DIN rail primary AC relay</t>
  </si>
  <si>
    <t>Finger raceway</t>
  </si>
  <si>
    <t>Mounting screws for raceway and rail</t>
  </si>
  <si>
    <t>Hookup wire</t>
  </si>
  <si>
    <t xml:space="preserve">Column O2 outlet </t>
  </si>
  <si>
    <t>Outlet flare union coupler</t>
  </si>
  <si>
    <t>Zeolite 13X media kg</t>
  </si>
  <si>
    <t>Activated Alumina media kg</t>
  </si>
  <si>
    <t>Control box</t>
  </si>
  <si>
    <t>USB power cable for Rpi</t>
  </si>
  <si>
    <t>USB cable for RTU</t>
  </si>
  <si>
    <t xml:space="preserve">RS-485 USB stick </t>
  </si>
  <si>
    <t>USB cable for control box</t>
  </si>
  <si>
    <t>Arduino board</t>
  </si>
  <si>
    <t>2x20 VFD</t>
  </si>
  <si>
    <t>3 position switch with N.O and N.C blocks</t>
  </si>
  <si>
    <t>Internal USB cable type B bulkhead to micro</t>
  </si>
  <si>
    <t>RTU internal</t>
  </si>
  <si>
    <t>Arduino pro mini or ESP32</t>
  </si>
  <si>
    <t>Instrumentation amplifier</t>
  </si>
  <si>
    <t>O2 analyzer</t>
  </si>
  <si>
    <t>O2 sensor electrochemical 0-100%</t>
  </si>
  <si>
    <t>0-1 lpm flowmeter</t>
  </si>
  <si>
    <t>custom modification to flowmeter</t>
  </si>
  <si>
    <t>O2 analyzer mounting bracket</t>
  </si>
  <si>
    <t>USB cable type B to micro internal</t>
  </si>
  <si>
    <t>RTU</t>
  </si>
  <si>
    <t>Arduino Pro Mini</t>
  </si>
  <si>
    <t>USB stick case</t>
  </si>
  <si>
    <t>5 pin connector</t>
  </si>
  <si>
    <t>USB cable</t>
  </si>
  <si>
    <t>Micro RTU</t>
  </si>
  <si>
    <t>cable clamps and wire handling</t>
  </si>
  <si>
    <t>wire markers</t>
  </si>
  <si>
    <t>extension connections for solenoids</t>
  </si>
  <si>
    <t>Misc</t>
  </si>
  <si>
    <t>Raspberry Pi 4</t>
  </si>
  <si>
    <t>User controls</t>
  </si>
  <si>
    <t>Solenoid mounting strips and screws</t>
  </si>
  <si>
    <t>mm^2</t>
  </si>
  <si>
    <t>cc/min</t>
  </si>
  <si>
    <t>mm per cc</t>
  </si>
  <si>
    <t>cm/sec</t>
  </si>
  <si>
    <t>status indicator light green/yellow/red</t>
  </si>
  <si>
    <t>Watts = SCFM x ∆T / 3</t>
  </si>
  <si>
    <t xml:space="preserve">SCFM = Standard Cubic Feet Per Minute </t>
  </si>
  <si>
    <t>∆T = Temperature Rise in Degrees F from the Inlet to the Outlet</t>
  </si>
  <si>
    <t>scfm</t>
  </si>
  <si>
    <t>lpm</t>
  </si>
  <si>
    <t>deltaT</t>
  </si>
  <si>
    <t>watts</t>
  </si>
  <si>
    <t>Date</t>
  </si>
  <si>
    <t>What</t>
  </si>
  <si>
    <t>Invent</t>
  </si>
  <si>
    <t>Design</t>
  </si>
  <si>
    <t>Build</t>
  </si>
  <si>
    <t>Sport Auto</t>
  </si>
  <si>
    <t>X</t>
  </si>
  <si>
    <t>RTU Software</t>
  </si>
  <si>
    <t>Compressed Gas meter</t>
  </si>
  <si>
    <t>Safety Control System</t>
  </si>
  <si>
    <t>Anti-Surge Controller</t>
  </si>
  <si>
    <t>Notes</t>
  </si>
  <si>
    <t>Celtic harp</t>
  </si>
  <si>
    <t>Vacuum tube amplifier</t>
  </si>
  <si>
    <t>Studio Microphone Preamplifier</t>
  </si>
  <si>
    <t>Climate instrument</t>
  </si>
  <si>
    <t>Electrolyre</t>
  </si>
  <si>
    <t>Mandol</t>
  </si>
  <si>
    <t>#</t>
  </si>
  <si>
    <t>Gas Separator</t>
  </si>
  <si>
    <t>2008-2012</t>
  </si>
  <si>
    <t>1987-2008</t>
  </si>
  <si>
    <t>Fault tolerant computer</t>
  </si>
  <si>
    <t>Guitar Amplifier</t>
  </si>
  <si>
    <t>Analog analysis software</t>
  </si>
  <si>
    <t>Physics and thermodynamics, confidence bounds estimation, mechanical design, product and BOM design, project cost and budget</t>
  </si>
  <si>
    <t>Computer system architecture, high level tradeoffs, full end to end project responsibility</t>
  </si>
  <si>
    <t>Fine woodworking, physics and acoustics, design with wood, wood finishing techniques</t>
  </si>
  <si>
    <t>Fretted instrument design, lutherie craft</t>
  </si>
  <si>
    <t>Strength of Materials, welding and brazing, mechanical drawing, use of machine tools</t>
  </si>
  <si>
    <t xml:space="preserve">Use of machine tools, layout and planning, service lifetime </t>
  </si>
  <si>
    <t>Deep understanding of vacuum tube physics, development of experimental process and inquiry, instrument construction in metal</t>
  </si>
  <si>
    <t>Design to performance goals, low noise design and testing, product BOM, PCB design, industrial design</t>
  </si>
  <si>
    <t>Maker/DIY process, Arduino software, rapid deployment, iterative design</t>
  </si>
  <si>
    <t>Physics and thermodynamics, experimental process, industrial controls integration, cottage workshop</t>
  </si>
  <si>
    <t>Electronic circuit analysis, mechanical construction, electronic construction, design for specific outcome</t>
  </si>
  <si>
    <t>1978-1983</t>
  </si>
  <si>
    <t>PLCs, System design, fault tolerant design, fault modeling, service life optimization, industrial control systems</t>
  </si>
  <si>
    <t>Communication software design, high reliability design</t>
  </si>
  <si>
    <t>Microprogram Controller</t>
  </si>
  <si>
    <t>Circuit analysis of 3-terminal analog networks, logical reduction, problem abstraction, software design, use of programming languages</t>
  </si>
  <si>
    <t>Computer logic design, PLA design, rigorous timing analysis, design for test, design for manufacture, failure analysis, project planning and schedule commitment</t>
  </si>
  <si>
    <t>Skills I learned</t>
  </si>
  <si>
    <t>Patent and trademark processes, optimization of many conflicting variables, problem solving in design</t>
  </si>
  <si>
    <t>Information Appliance</t>
  </si>
  <si>
    <t>Web connected appliance design, battery device design, browser based interaction, embedded Linux, low power constrained hardware</t>
  </si>
  <si>
    <t>Internet-connected Photovoltaic generation</t>
  </si>
  <si>
    <t xml:space="preserve">Embedded hardware and Linux, hardware I/O and SCADA integration, serial protocols, processing of measurement data, real-time web server </t>
  </si>
  <si>
    <t>1999-2000</t>
  </si>
  <si>
    <t>Internet Media Devices</t>
  </si>
  <si>
    <t>Search and indexing, embedded Linux with streaming media, appliance design and demo, network client + server device integration</t>
  </si>
  <si>
    <t>min/day</t>
  </si>
  <si>
    <t>l/m3</t>
  </si>
  <si>
    <t>sm3/day</t>
  </si>
  <si>
    <t>Blowdown</t>
  </si>
  <si>
    <t>SCFM</t>
  </si>
  <si>
    <t>Fan</t>
  </si>
  <si>
    <t>O2 Out/Press</t>
  </si>
  <si>
    <t>Amps</t>
  </si>
  <si>
    <t>Watts</t>
  </si>
  <si>
    <t>Ohms</t>
  </si>
  <si>
    <t xml:space="preserve">Quantity </t>
  </si>
  <si>
    <t>Volts</t>
  </si>
  <si>
    <t>I/P Transducer</t>
  </si>
  <si>
    <t>C</t>
  </si>
  <si>
    <t>MOV</t>
  </si>
  <si>
    <t>PSA Air In</t>
  </si>
  <si>
    <t>PSA Blowdown</t>
  </si>
  <si>
    <t>BD Diverter</t>
  </si>
  <si>
    <t>Drier Purge out</t>
  </si>
  <si>
    <t>in vac</t>
  </si>
  <si>
    <t>mm atm</t>
  </si>
  <si>
    <t>in atm</t>
  </si>
  <si>
    <t>mm vac (torr)</t>
  </si>
  <si>
    <t>mbar atm</t>
  </si>
  <si>
    <t>mbar vac</t>
  </si>
  <si>
    <t>mm</t>
  </si>
  <si>
    <t>cap top</t>
  </si>
  <si>
    <t>capbotton</t>
  </si>
  <si>
    <t xml:space="preserve">spool </t>
  </si>
  <si>
    <t>3x24</t>
  </si>
  <si>
    <t>1/2 NPT</t>
  </si>
  <si>
    <t>1/4 NPT</t>
  </si>
  <si>
    <t>filter plate</t>
  </si>
  <si>
    <t>3"</t>
  </si>
  <si>
    <t>clamp</t>
  </si>
  <si>
    <t>gasket</t>
  </si>
  <si>
    <t>mount</t>
  </si>
  <si>
    <t>spool clamp</t>
  </si>
  <si>
    <t>mmhg</t>
  </si>
  <si>
    <t>atm</t>
  </si>
  <si>
    <t>psia</t>
  </si>
  <si>
    <t>mbar</t>
  </si>
  <si>
    <t>F</t>
  </si>
  <si>
    <t>SA-100 pump</t>
  </si>
  <si>
    <t>m/sec</t>
  </si>
  <si>
    <t>mm radius</t>
  </si>
  <si>
    <t>in dia</t>
  </si>
  <si>
    <t>1/4"</t>
  </si>
  <si>
    <t>1/2"</t>
  </si>
  <si>
    <t>3/8"</t>
  </si>
  <si>
    <t>1/8" sample tube</t>
  </si>
  <si>
    <t>Measured</t>
  </si>
  <si>
    <t>base</t>
  </si>
  <si>
    <t>Total</t>
  </si>
  <si>
    <t>Codes</t>
  </si>
  <si>
    <t>Digits</t>
  </si>
  <si>
    <t>dia-in</t>
  </si>
  <si>
    <t>len-in</t>
  </si>
  <si>
    <t>columns</t>
  </si>
  <si>
    <t>Check PTFE compatibility</t>
  </si>
  <si>
    <t>Silicone</t>
  </si>
  <si>
    <t>Viton</t>
  </si>
  <si>
    <t>EPDM</t>
  </si>
  <si>
    <t>HNBR</t>
  </si>
  <si>
    <t>PTFE</t>
  </si>
  <si>
    <t>l</t>
  </si>
  <si>
    <t>kPa</t>
  </si>
  <si>
    <t>volume</t>
  </si>
  <si>
    <t>pmax</t>
  </si>
  <si>
    <t>pmin</t>
  </si>
  <si>
    <t>Delivery</t>
  </si>
  <si>
    <t>Eff Volume</t>
  </si>
  <si>
    <t>Time</t>
  </si>
  <si>
    <t>sec</t>
  </si>
  <si>
    <t>Solberg</t>
  </si>
  <si>
    <t>Solberg HE14</t>
  </si>
  <si>
    <t>Description</t>
  </si>
  <si>
    <t>Relay rack 28U</t>
  </si>
  <si>
    <t>8u panel</t>
  </si>
  <si>
    <t>5u panel</t>
  </si>
  <si>
    <t>Caster</t>
  </si>
  <si>
    <t>LeGrand</t>
  </si>
  <si>
    <t>Manuf. Part ID</t>
  </si>
  <si>
    <t>Short Tank</t>
  </si>
  <si>
    <t>Long Tank</t>
  </si>
  <si>
    <t>PSA Column</t>
  </si>
  <si>
    <t>Dryer Column</t>
  </si>
  <si>
    <t>Tester PSA Column</t>
  </si>
  <si>
    <t>Tester AlO3 Column</t>
  </si>
  <si>
    <t>sl/m</t>
  </si>
  <si>
    <t>bar</t>
  </si>
  <si>
    <t>l/m</t>
  </si>
  <si>
    <t>cm</t>
  </si>
  <si>
    <t>cm^2</t>
  </si>
  <si>
    <t>flowrate</t>
  </si>
  <si>
    <t>pressure</t>
  </si>
  <si>
    <t>flow volume</t>
  </si>
  <si>
    <t>radius</t>
  </si>
  <si>
    <t>area</t>
  </si>
  <si>
    <t>velocity</t>
  </si>
  <si>
    <t>cm/s</t>
  </si>
  <si>
    <t>tres</t>
  </si>
  <si>
    <t>inner surface</t>
  </si>
  <si>
    <t>vk</t>
  </si>
  <si>
    <t>R</t>
  </si>
  <si>
    <t>vd</t>
  </si>
  <si>
    <t>rho</t>
  </si>
  <si>
    <t xml:space="preserve">m </t>
  </si>
  <si>
    <t>Ns/m^2</t>
  </si>
  <si>
    <t>mm^2/s</t>
  </si>
  <si>
    <t>cSt</t>
  </si>
  <si>
    <t>AC RTU</t>
  </si>
  <si>
    <t>Top row</t>
  </si>
  <si>
    <t>Bottom row</t>
  </si>
  <si>
    <t>Equipment</t>
  </si>
  <si>
    <t>Air side</t>
  </si>
  <si>
    <t>Air Pump</t>
  </si>
  <si>
    <t>Inet filter</t>
  </si>
  <si>
    <t>Relief valve</t>
  </si>
  <si>
    <t>Separator</t>
  </si>
  <si>
    <t>Micron FIlter</t>
  </si>
  <si>
    <t>Column 1</t>
  </si>
  <si>
    <t>Inlet valve</t>
  </si>
  <si>
    <t>Outlet check</t>
  </si>
  <si>
    <t>Regen out temp</t>
  </si>
  <si>
    <t>Regen out valve</t>
  </si>
  <si>
    <t>Column 2</t>
  </si>
  <si>
    <t>Separator inlet temp</t>
  </si>
  <si>
    <t>O2 Side</t>
  </si>
  <si>
    <t>Air inlet flow</t>
  </si>
  <si>
    <t>Air inlet temp</t>
  </si>
  <si>
    <t>Air inlet valve</t>
  </si>
  <si>
    <t>N2 Purge Valve</t>
  </si>
  <si>
    <t>O2 out check</t>
  </si>
  <si>
    <t>O2 purge check</t>
  </si>
  <si>
    <t>O2 purge valve</t>
  </si>
  <si>
    <t>O2 repressure valve</t>
  </si>
  <si>
    <t>P101</t>
  </si>
  <si>
    <t>F101</t>
  </si>
  <si>
    <t>V101</t>
  </si>
  <si>
    <t>E101</t>
  </si>
  <si>
    <t>T101</t>
  </si>
  <si>
    <t>D101</t>
  </si>
  <si>
    <t>T102</t>
  </si>
  <si>
    <t>V111</t>
  </si>
  <si>
    <t>T110</t>
  </si>
  <si>
    <t>T120</t>
  </si>
  <si>
    <t>V112</t>
  </si>
  <si>
    <t>V113</t>
  </si>
  <si>
    <t>V121</t>
  </si>
  <si>
    <t>V122</t>
  </si>
  <si>
    <t>V123</t>
  </si>
  <si>
    <t>C110</t>
  </si>
  <si>
    <t>C120</t>
  </si>
  <si>
    <t>V110</t>
  </si>
  <si>
    <t>V120</t>
  </si>
  <si>
    <t>F102</t>
  </si>
  <si>
    <t>X101</t>
  </si>
  <si>
    <t>F201</t>
  </si>
  <si>
    <t>T201</t>
  </si>
  <si>
    <t>C220</t>
  </si>
  <si>
    <t>C230</t>
  </si>
  <si>
    <t>V220</t>
  </si>
  <si>
    <t>V221</t>
  </si>
  <si>
    <t>V222</t>
  </si>
  <si>
    <t>V223</t>
  </si>
  <si>
    <t>V230</t>
  </si>
  <si>
    <t>V231</t>
  </si>
  <si>
    <t>V232</t>
  </si>
  <si>
    <t>V233</t>
  </si>
  <si>
    <t>V201</t>
  </si>
  <si>
    <t>V202</t>
  </si>
  <si>
    <t>O2 Accumulator</t>
  </si>
  <si>
    <t>D201</t>
  </si>
  <si>
    <t>O2 Regulator</t>
  </si>
  <si>
    <t>V203</t>
  </si>
  <si>
    <t>O2 Accum pressure</t>
  </si>
  <si>
    <t>P201</t>
  </si>
  <si>
    <t xml:space="preserve">Air Inlet Pressure </t>
  </si>
  <si>
    <t>P202</t>
  </si>
  <si>
    <t>O2 Delivery Pressure</t>
  </si>
  <si>
    <t>P203</t>
  </si>
  <si>
    <t>O2 Delivery Flow</t>
  </si>
  <si>
    <t>F202</t>
  </si>
  <si>
    <t>X102</t>
  </si>
  <si>
    <t>Air outlet flow</t>
  </si>
  <si>
    <t>Regen Air flow</t>
  </si>
  <si>
    <t>Regen N2 Flow</t>
  </si>
  <si>
    <t>F103</t>
  </si>
  <si>
    <t>FIC-101</t>
  </si>
  <si>
    <t>FIC-102</t>
  </si>
  <si>
    <t>FIC-103</t>
  </si>
  <si>
    <t>FT-201</t>
  </si>
  <si>
    <t>TE-201</t>
  </si>
  <si>
    <t>PT-201</t>
  </si>
  <si>
    <t>TE-120</t>
  </si>
  <si>
    <t>TE-110</t>
  </si>
  <si>
    <t>Regen in check</t>
  </si>
  <si>
    <t>TE-101</t>
  </si>
  <si>
    <t>PT-202</t>
  </si>
  <si>
    <t>PT-203</t>
  </si>
  <si>
    <t>Blowdown Flow</t>
  </si>
  <si>
    <t>F203</t>
  </si>
  <si>
    <t>FT-203</t>
  </si>
  <si>
    <t>F204</t>
  </si>
  <si>
    <t>FIC-204</t>
  </si>
  <si>
    <t>FIC-202</t>
  </si>
  <si>
    <t>FIC-205</t>
  </si>
  <si>
    <t>F205</t>
  </si>
  <si>
    <t>F206</t>
  </si>
  <si>
    <t>FIC-206</t>
  </si>
  <si>
    <t>F207</t>
  </si>
  <si>
    <t>FIC-207</t>
  </si>
  <si>
    <t>AIr Outlet Pressure</t>
  </si>
  <si>
    <t>PI-101</t>
  </si>
  <si>
    <t>AP101</t>
  </si>
  <si>
    <t>V102</t>
  </si>
  <si>
    <t>V103</t>
  </si>
  <si>
    <t>X103</t>
  </si>
  <si>
    <t>P102</t>
  </si>
  <si>
    <t>PI-102</t>
  </si>
  <si>
    <t>Blowdown regulator</t>
  </si>
  <si>
    <t>Blowdown Bypass</t>
  </si>
  <si>
    <t>BPV-203</t>
  </si>
  <si>
    <t>V204</t>
  </si>
  <si>
    <t>AC Solenoid</t>
  </si>
  <si>
    <t>4-20 mA to 3-15 psig</t>
  </si>
  <si>
    <t>BOM</t>
  </si>
  <si>
    <t>NC</t>
  </si>
  <si>
    <t>+</t>
  </si>
  <si>
    <t>-</t>
  </si>
  <si>
    <t>N</t>
  </si>
  <si>
    <t>L</t>
  </si>
  <si>
    <t>AC</t>
  </si>
  <si>
    <t>SP</t>
  </si>
  <si>
    <t>OP</t>
  </si>
  <si>
    <t>CL</t>
  </si>
  <si>
    <t>COM</t>
  </si>
  <si>
    <t>Pump Ctl</t>
  </si>
  <si>
    <t>Cond Temp</t>
  </si>
  <si>
    <t>Regen Temp</t>
  </si>
  <si>
    <t>C120 temp</t>
  </si>
  <si>
    <t>C110 temp</t>
  </si>
  <si>
    <t xml:space="preserve">V110 </t>
  </si>
  <si>
    <t>DC</t>
  </si>
  <si>
    <t>BP Regulator</t>
  </si>
  <si>
    <t>Back Pressure Valve</t>
  </si>
  <si>
    <t>I/P Control Pressure</t>
  </si>
  <si>
    <t>3-6 (?) PSI control range</t>
  </si>
  <si>
    <t>Regen in temp</t>
  </si>
  <si>
    <t>Regen Heater</t>
  </si>
  <si>
    <t>H101</t>
  </si>
  <si>
    <t>PWM via internal RTU</t>
  </si>
  <si>
    <t>PWM RTU</t>
  </si>
  <si>
    <t>PI-202</t>
  </si>
  <si>
    <t>PI-203</t>
  </si>
  <si>
    <t>Point</t>
  </si>
  <si>
    <t>ID</t>
  </si>
  <si>
    <t>P&amp;ID Tag</t>
  </si>
  <si>
    <t>N2 Adsober 1</t>
  </si>
  <si>
    <t>N2 Adsober 2</t>
  </si>
  <si>
    <t>H2O Adsober 1</t>
  </si>
  <si>
    <t>H2O Adsorber 2</t>
  </si>
  <si>
    <t>IC-101</t>
  </si>
  <si>
    <t>O2 Purge Flow</t>
  </si>
  <si>
    <t>O2 Column Sample Flow</t>
  </si>
  <si>
    <t>O2 Accum Sample Flow</t>
  </si>
  <si>
    <t>FIC-203</t>
  </si>
  <si>
    <t>TE-102</t>
  </si>
  <si>
    <t>XV-103</t>
  </si>
  <si>
    <t>AP-101</t>
  </si>
  <si>
    <t>V-110</t>
  </si>
  <si>
    <t>V-210</t>
  </si>
  <si>
    <t>V-113</t>
  </si>
  <si>
    <t>V-123</t>
  </si>
  <si>
    <t>V-220</t>
  </si>
  <si>
    <t>V-221</t>
  </si>
  <si>
    <t>V-230</t>
  </si>
  <si>
    <t>V-231</t>
  </si>
  <si>
    <t>V-201</t>
  </si>
  <si>
    <t>V-202</t>
  </si>
  <si>
    <t>V-204</t>
  </si>
  <si>
    <t>Fan Pwr</t>
  </si>
  <si>
    <t>M101</t>
  </si>
  <si>
    <t>M102</t>
  </si>
  <si>
    <t>M-101</t>
  </si>
  <si>
    <t>Motor for air pump</t>
  </si>
  <si>
    <t>Condenser Fan</t>
  </si>
  <si>
    <t>M-102</t>
  </si>
  <si>
    <t>Air RTU</t>
  </si>
  <si>
    <t>O2 RTU</t>
  </si>
  <si>
    <t>Standby Switch</t>
  </si>
  <si>
    <t>Run Switch</t>
  </si>
  <si>
    <t>O2 Status Indicator</t>
  </si>
  <si>
    <t>Interface</t>
  </si>
  <si>
    <t>Pins</t>
  </si>
  <si>
    <t>I2C</t>
  </si>
  <si>
    <t>RTD</t>
  </si>
  <si>
    <t>1-5V</t>
  </si>
  <si>
    <t xml:space="preserve">VFD </t>
  </si>
  <si>
    <t>SPI</t>
  </si>
  <si>
    <t>Conn pins</t>
  </si>
  <si>
    <t>Standby Switch out</t>
  </si>
  <si>
    <t>AIN</t>
  </si>
  <si>
    <t>DIN</t>
  </si>
  <si>
    <t>DOUT*3</t>
  </si>
  <si>
    <t>O2 Quality Analyzer</t>
  </si>
  <si>
    <t>Z201</t>
  </si>
  <si>
    <t>O2 Delivery Quality</t>
  </si>
  <si>
    <t>Z-201</t>
  </si>
  <si>
    <t>%O2 Sensor</t>
  </si>
  <si>
    <t>STBY</t>
  </si>
  <si>
    <t>O2 Production</t>
  </si>
  <si>
    <t>F208</t>
  </si>
  <si>
    <t>FIC-208</t>
  </si>
  <si>
    <t>Blowdown Pressure</t>
  </si>
  <si>
    <t>P204</t>
  </si>
  <si>
    <t>PI-204</t>
  </si>
  <si>
    <t>IN</t>
  </si>
  <si>
    <t>OUT</t>
  </si>
  <si>
    <t>Air Control RTU</t>
  </si>
  <si>
    <t>Vopen</t>
  </si>
  <si>
    <t>Sopen</t>
  </si>
  <si>
    <t>Sclose</t>
  </si>
  <si>
    <t>Vclose</t>
  </si>
  <si>
    <t>C110 Inlet</t>
  </si>
  <si>
    <t>C120 Inlet</t>
  </si>
  <si>
    <t>C220 Inlet</t>
  </si>
  <si>
    <t>C220 blowdown</t>
  </si>
  <si>
    <t>C230 Inlet</t>
  </si>
  <si>
    <t>O2 Purge</t>
  </si>
  <si>
    <t>O2 Repressure</t>
  </si>
  <si>
    <t>C110 Purge Out</t>
  </si>
  <si>
    <t>C120 Purge Out</t>
  </si>
  <si>
    <t>Air Bypass Control</t>
  </si>
  <si>
    <t>Blowdown Backpressure</t>
  </si>
  <si>
    <t>C230 blowdown</t>
  </si>
  <si>
    <t>MCU Pin</t>
  </si>
  <si>
    <t>Ref</t>
  </si>
  <si>
    <t>Func</t>
  </si>
  <si>
    <t>Ribbon Pin</t>
  </si>
  <si>
    <t>Open</t>
  </si>
  <si>
    <t>Close</t>
  </si>
  <si>
    <t>Spare</t>
  </si>
  <si>
    <t>Run</t>
  </si>
  <si>
    <t>Fwd</t>
  </si>
  <si>
    <t>Rev</t>
  </si>
  <si>
    <t>PWM</t>
  </si>
  <si>
    <t>CS</t>
  </si>
  <si>
    <t>(SPI)</t>
  </si>
  <si>
    <t>CLK</t>
  </si>
  <si>
    <t>SDO</t>
  </si>
  <si>
    <t>SDI</t>
  </si>
  <si>
    <t>RDY</t>
  </si>
  <si>
    <t>D32</t>
  </si>
  <si>
    <t>D34</t>
  </si>
  <si>
    <t>D36</t>
  </si>
  <si>
    <t>D38</t>
  </si>
  <si>
    <t>D40</t>
  </si>
  <si>
    <t>D42</t>
  </si>
  <si>
    <t>D33</t>
  </si>
  <si>
    <t>D35</t>
  </si>
  <si>
    <t>D37</t>
  </si>
  <si>
    <t>D44</t>
  </si>
  <si>
    <t>D11</t>
  </si>
  <si>
    <t>D10</t>
  </si>
  <si>
    <t>D9</t>
  </si>
  <si>
    <t>D8</t>
  </si>
  <si>
    <t>D7</t>
  </si>
  <si>
    <t>D6</t>
  </si>
  <si>
    <t>D5</t>
  </si>
  <si>
    <t>D26</t>
  </si>
  <si>
    <t>D25</t>
  </si>
  <si>
    <t>D24</t>
  </si>
  <si>
    <t>D23</t>
  </si>
  <si>
    <t>D4</t>
  </si>
  <si>
    <t>SCK</t>
  </si>
  <si>
    <t>MISO</t>
  </si>
  <si>
    <t>MOSI</t>
  </si>
  <si>
    <t>D53</t>
  </si>
  <si>
    <t>D52</t>
  </si>
  <si>
    <t>D29</t>
  </si>
  <si>
    <t>D30</t>
  </si>
  <si>
    <t>D31</t>
  </si>
  <si>
    <t>D27</t>
  </si>
  <si>
    <t>D28</t>
  </si>
  <si>
    <t>MCU</t>
  </si>
  <si>
    <t>SDA</t>
  </si>
  <si>
    <t>A0</t>
  </si>
  <si>
    <t>A1</t>
  </si>
  <si>
    <t>A2</t>
  </si>
  <si>
    <t>A3</t>
  </si>
  <si>
    <t>D22</t>
  </si>
  <si>
    <t>RES/L</t>
  </si>
  <si>
    <t>ALM/L</t>
  </si>
  <si>
    <t>LOW/L</t>
  </si>
  <si>
    <t>OK/L</t>
  </si>
  <si>
    <t>SIO</t>
  </si>
  <si>
    <t>STB/L</t>
  </si>
  <si>
    <t>I2C address</t>
  </si>
  <si>
    <t>Local display</t>
  </si>
  <si>
    <t xml:space="preserve">scl </t>
  </si>
  <si>
    <t>sda</t>
  </si>
  <si>
    <t>D21</t>
  </si>
  <si>
    <t>D20</t>
  </si>
  <si>
    <t>0x78</t>
  </si>
  <si>
    <t>SCL</t>
  </si>
  <si>
    <t>0x02</t>
  </si>
  <si>
    <t>0x40</t>
  </si>
  <si>
    <t>Manuf. Description</t>
  </si>
  <si>
    <t>Manufacturer/Vendor</t>
  </si>
  <si>
    <t>Consumable</t>
  </si>
  <si>
    <t>JLOX-101 data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</si>
</sst>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0"/>
    <numFmt numFmtId="166" formatCode="0.000"/>
    <numFmt numFmtId="167" formatCode="0.0000"/>
    <numFmt numFmtId="168" formatCode="0.0000000"/>
    <numFmt numFmtId="169" formatCode="0.00000000"/>
  </numFmts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right"/>
    </xf>
    <xf numFmtId="16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169" fontId="0" fillId="0" borderId="0" xfId="0" applyNumberForma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0" fillId="5" borderId="0" xfId="0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3" fillId="0" borderId="8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4" xfId="0" applyFont="1" applyBorder="1" applyAlignment="1">
      <alignment horizontal="center"/>
    </xf>
    <xf numFmtId="0" fontId="0" fillId="0" borderId="0" xfId="0" applyFill="1"/>
    <xf numFmtId="0" fontId="5" fillId="0" borderId="0" xfId="0" applyFont="1"/>
    <xf numFmtId="0" fontId="6" fillId="0" borderId="0" xfId="0" applyFont="1"/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2" xfId="0" applyFont="1" applyBorder="1"/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575677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nwvalve.com/FNWValve/assets/images/PDFs/FNW/tech_AboutCv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O8" sqref="O8"/>
    </sheetView>
  </sheetViews>
  <sheetFormatPr baseColWidth="10" defaultRowHeight="16"/>
  <cols>
    <col min="10" max="10" width="18" customWidth="1"/>
  </cols>
  <sheetData>
    <row r="1" spans="1:13">
      <c r="H1">
        <v>0.63</v>
      </c>
      <c r="I1" t="s">
        <v>703</v>
      </c>
    </row>
    <row r="2" spans="1:13">
      <c r="H2">
        <v>0.64</v>
      </c>
      <c r="I2" t="s">
        <v>3</v>
      </c>
    </row>
    <row r="3" spans="1:13">
      <c r="F3" s="3" t="s">
        <v>5</v>
      </c>
      <c r="H3">
        <v>0.79</v>
      </c>
      <c r="I3" s="4" t="s">
        <v>9</v>
      </c>
    </row>
    <row r="4" spans="1:13">
      <c r="F4">
        <v>0.63</v>
      </c>
      <c r="G4" t="s">
        <v>4</v>
      </c>
    </row>
    <row r="5" spans="1:13">
      <c r="A5" t="s">
        <v>347</v>
      </c>
      <c r="B5" t="s">
        <v>348</v>
      </c>
      <c r="C5" t="s">
        <v>1</v>
      </c>
      <c r="D5" t="s">
        <v>2</v>
      </c>
      <c r="E5" t="s">
        <v>0</v>
      </c>
      <c r="F5" t="s">
        <v>349</v>
      </c>
      <c r="G5" s="3" t="s">
        <v>6</v>
      </c>
      <c r="H5" s="3" t="s">
        <v>7</v>
      </c>
      <c r="I5" s="3" t="s">
        <v>8</v>
      </c>
    </row>
    <row r="6" spans="1:13">
      <c r="A6" s="26">
        <v>2.87</v>
      </c>
      <c r="B6" s="26">
        <v>25</v>
      </c>
      <c r="C6" s="26">
        <f>A6*2.54</f>
        <v>7.2898000000000005</v>
      </c>
      <c r="D6" s="26">
        <f>B6*2.54</f>
        <v>63.5</v>
      </c>
      <c r="E6" s="27">
        <f>PI() * (C6/2)^2 * D6 /1000</f>
        <v>2.6502987599571441</v>
      </c>
      <c r="F6" s="26">
        <v>2</v>
      </c>
      <c r="G6" s="27">
        <f>E6*F$4</f>
        <v>1.6696882187730009</v>
      </c>
      <c r="H6" s="28">
        <f>F6*G6</f>
        <v>3.3393764375460018</v>
      </c>
      <c r="I6" s="28">
        <f>H6*2.2</f>
        <v>7.3466281626012044</v>
      </c>
      <c r="J6" t="s">
        <v>376</v>
      </c>
      <c r="L6">
        <v>2.5</v>
      </c>
      <c r="M6">
        <v>10</v>
      </c>
    </row>
    <row r="7" spans="1:13">
      <c r="A7" s="26">
        <v>2.87</v>
      </c>
      <c r="B7" s="26">
        <v>19</v>
      </c>
      <c r="C7" s="26">
        <f>A7*2.54</f>
        <v>7.2898000000000005</v>
      </c>
      <c r="D7" s="26">
        <f>B7*2.54</f>
        <v>48.26</v>
      </c>
      <c r="E7" s="27">
        <f>PI() * (C7/2)^2 * D7 /1000</f>
        <v>2.0142270575674295</v>
      </c>
      <c r="F7" s="26">
        <v>2</v>
      </c>
      <c r="G7" s="27">
        <f>E7*F$4</f>
        <v>1.2689630462674806</v>
      </c>
      <c r="H7" s="28">
        <f>F7*G7</f>
        <v>2.5379260925349612</v>
      </c>
      <c r="I7" s="28">
        <f>H7*2.2</f>
        <v>5.583437403576915</v>
      </c>
      <c r="J7" t="s">
        <v>377</v>
      </c>
      <c r="L7" s="1">
        <f>H6/L6</f>
        <v>1.3357505750184007</v>
      </c>
      <c r="M7" s="1">
        <f>M6*L7</f>
        <v>13.357505750184007</v>
      </c>
    </row>
    <row r="9" spans="1:13">
      <c r="A9">
        <v>1.8720000000000001</v>
      </c>
      <c r="B9">
        <v>25</v>
      </c>
      <c r="C9">
        <f t="shared" ref="C9:D15" si="0">A9*2.54</f>
        <v>4.75488</v>
      </c>
      <c r="D9">
        <f t="shared" si="0"/>
        <v>63.5</v>
      </c>
      <c r="E9" s="2">
        <f t="shared" ref="E9:E15" si="1">PI() * (C9/2)^2 * D9 /1000</f>
        <v>1.1275679648427992</v>
      </c>
      <c r="F9">
        <v>1</v>
      </c>
      <c r="G9" s="2">
        <f t="shared" ref="G9:G15" si="2">E9*F$4</f>
        <v>0.71036781785096348</v>
      </c>
      <c r="H9" s="1">
        <f t="shared" ref="H9" si="3">F9*G9</f>
        <v>0.71036781785096348</v>
      </c>
      <c r="I9" s="1">
        <f t="shared" ref="I9:I15" si="4">H9*2.2</f>
        <v>1.5628091992721198</v>
      </c>
    </row>
    <row r="10" spans="1:13">
      <c r="A10">
        <v>1.8720000000000001</v>
      </c>
      <c r="B10">
        <v>19</v>
      </c>
      <c r="C10">
        <f t="shared" si="0"/>
        <v>4.75488</v>
      </c>
      <c r="D10">
        <f t="shared" si="0"/>
        <v>48.26</v>
      </c>
      <c r="E10" s="2">
        <f t="shared" si="1"/>
        <v>0.85695165328052747</v>
      </c>
      <c r="F10">
        <v>1</v>
      </c>
      <c r="G10" s="2">
        <f t="shared" si="2"/>
        <v>0.53987954156673235</v>
      </c>
      <c r="H10" s="1">
        <f t="shared" ref="H10" si="5">F10*G10</f>
        <v>0.53987954156673235</v>
      </c>
      <c r="I10" s="1">
        <f t="shared" si="4"/>
        <v>1.1877349914468112</v>
      </c>
    </row>
    <row r="11" spans="1:13">
      <c r="A11">
        <v>1.8720000000000001</v>
      </c>
      <c r="B11">
        <v>13</v>
      </c>
      <c r="C11">
        <f t="shared" si="0"/>
        <v>4.75488</v>
      </c>
      <c r="D11">
        <f t="shared" si="0"/>
        <v>33.020000000000003</v>
      </c>
      <c r="E11" s="2">
        <f t="shared" si="1"/>
        <v>0.58633534171825563</v>
      </c>
      <c r="F11">
        <v>1</v>
      </c>
      <c r="G11" s="2">
        <f t="shared" si="2"/>
        <v>0.36939126528250105</v>
      </c>
      <c r="H11" s="1">
        <f t="shared" ref="H11" si="6">F11*G11</f>
        <v>0.36939126528250105</v>
      </c>
      <c r="I11" s="1">
        <f t="shared" si="4"/>
        <v>0.8126607836215024</v>
      </c>
    </row>
    <row r="12" spans="1:13">
      <c r="A12">
        <v>1.37</v>
      </c>
      <c r="B12">
        <v>37</v>
      </c>
      <c r="C12">
        <f t="shared" si="0"/>
        <v>3.4798000000000004</v>
      </c>
      <c r="D12">
        <f t="shared" si="0"/>
        <v>93.98</v>
      </c>
      <c r="E12" s="2">
        <f t="shared" si="1"/>
        <v>0.89378670361350443</v>
      </c>
      <c r="F12">
        <v>1</v>
      </c>
      <c r="G12" s="2">
        <f t="shared" si="2"/>
        <v>0.5630856232765078</v>
      </c>
      <c r="H12" s="1">
        <f>F12*G12</f>
        <v>0.5630856232765078</v>
      </c>
      <c r="I12" s="1">
        <f t="shared" si="4"/>
        <v>1.2387883712083172</v>
      </c>
    </row>
    <row r="13" spans="1:13">
      <c r="A13" s="26">
        <v>1.37</v>
      </c>
      <c r="B13" s="26">
        <v>25</v>
      </c>
      <c r="C13" s="26">
        <f t="shared" si="0"/>
        <v>3.4798000000000004</v>
      </c>
      <c r="D13" s="26">
        <f t="shared" si="0"/>
        <v>63.5</v>
      </c>
      <c r="E13" s="28">
        <f t="shared" si="1"/>
        <v>0.60390993487398936</v>
      </c>
      <c r="F13" s="26">
        <v>1</v>
      </c>
      <c r="G13" s="27">
        <f t="shared" si="2"/>
        <v>0.38046325897061328</v>
      </c>
      <c r="H13" s="28">
        <f t="shared" ref="H13" si="7">F13*G13</f>
        <v>0.38046325897061328</v>
      </c>
      <c r="I13" s="28">
        <f t="shared" si="4"/>
        <v>0.83701916973534929</v>
      </c>
      <c r="J13" t="s">
        <v>378</v>
      </c>
    </row>
    <row r="14" spans="1:13">
      <c r="A14">
        <v>1.37</v>
      </c>
      <c r="B14">
        <v>19</v>
      </c>
      <c r="C14">
        <f t="shared" si="0"/>
        <v>3.4798000000000004</v>
      </c>
      <c r="D14">
        <f t="shared" si="0"/>
        <v>48.26</v>
      </c>
      <c r="E14" s="1">
        <f t="shared" si="1"/>
        <v>0.458971550504232</v>
      </c>
      <c r="F14">
        <v>1</v>
      </c>
      <c r="G14" s="2">
        <f t="shared" si="2"/>
        <v>0.28915207681766614</v>
      </c>
      <c r="H14" s="1">
        <f>F14*G14</f>
        <v>0.28915207681766614</v>
      </c>
      <c r="I14" s="1">
        <f t="shared" si="4"/>
        <v>0.63613456899886556</v>
      </c>
      <c r="K14">
        <f>A14*25.4</f>
        <v>34.798000000000002</v>
      </c>
      <c r="L14">
        <f>24*60</f>
        <v>1440</v>
      </c>
      <c r="M14" t="s">
        <v>291</v>
      </c>
    </row>
    <row r="15" spans="1:13">
      <c r="A15" s="26">
        <v>1.37</v>
      </c>
      <c r="B15" s="26">
        <v>9</v>
      </c>
      <c r="C15" s="26">
        <f t="shared" si="0"/>
        <v>3.4798000000000004</v>
      </c>
      <c r="D15" s="26">
        <f t="shared" si="0"/>
        <v>22.86</v>
      </c>
      <c r="E15" s="28">
        <f t="shared" si="1"/>
        <v>0.21740757655463619</v>
      </c>
      <c r="F15" s="26">
        <v>1</v>
      </c>
      <c r="G15" s="27">
        <f t="shared" si="2"/>
        <v>0.1369667732294208</v>
      </c>
      <c r="H15" s="28">
        <f t="shared" ref="H15" si="8">F15*G15</f>
        <v>0.1369667732294208</v>
      </c>
      <c r="I15" s="28">
        <f t="shared" si="4"/>
        <v>0.30132690110472576</v>
      </c>
      <c r="J15" t="s">
        <v>379</v>
      </c>
    </row>
    <row r="16" spans="1:13">
      <c r="L16">
        <v>1000</v>
      </c>
      <c r="M16" t="s">
        <v>292</v>
      </c>
    </row>
    <row r="17" spans="1:13">
      <c r="A17">
        <v>3.37</v>
      </c>
      <c r="B17">
        <v>10</v>
      </c>
      <c r="C17">
        <f t="shared" ref="C17:D21" si="9">A17*2.54</f>
        <v>8.559800000000001</v>
      </c>
      <c r="D17">
        <f t="shared" si="9"/>
        <v>25.4</v>
      </c>
      <c r="E17" s="2">
        <f>PI() * (C17/2)^2 * D17 /1000</f>
        <v>1.4616750470180424</v>
      </c>
      <c r="F17">
        <v>2</v>
      </c>
      <c r="G17" s="2">
        <f>E17*F$4</f>
        <v>0.92085527962136671</v>
      </c>
      <c r="H17" s="1">
        <f>F17*G17</f>
        <v>1.8417105592427334</v>
      </c>
      <c r="I17" s="1">
        <f>H17*2.2</f>
        <v>4.0517632303340134</v>
      </c>
    </row>
    <row r="18" spans="1:13">
      <c r="A18" s="26">
        <v>3.37</v>
      </c>
      <c r="B18" s="26">
        <v>11</v>
      </c>
      <c r="C18" s="26">
        <f t="shared" si="9"/>
        <v>8.559800000000001</v>
      </c>
      <c r="D18" s="26">
        <f t="shared" si="9"/>
        <v>27.94</v>
      </c>
      <c r="E18" s="27">
        <f>PI() * (C18/2)^2 * D18 /1000</f>
        <v>1.6078425517198471</v>
      </c>
      <c r="F18" s="26">
        <v>1</v>
      </c>
      <c r="G18" s="27">
        <f>E18*F$4</f>
        <v>1.0129408075835038</v>
      </c>
      <c r="H18" s="28">
        <f>F18*G18</f>
        <v>1.0129408075835038</v>
      </c>
      <c r="I18" s="28">
        <f>H18*2.2</f>
        <v>2.2284697766837085</v>
      </c>
      <c r="J18" t="s">
        <v>374</v>
      </c>
      <c r="L18">
        <v>20</v>
      </c>
      <c r="M18" t="s">
        <v>293</v>
      </c>
    </row>
    <row r="19" spans="1:13">
      <c r="A19">
        <v>3.37</v>
      </c>
      <c r="B19">
        <v>20</v>
      </c>
      <c r="C19">
        <f t="shared" si="9"/>
        <v>8.559800000000001</v>
      </c>
      <c r="D19">
        <f t="shared" si="9"/>
        <v>50.8</v>
      </c>
      <c r="E19" s="2">
        <f>PI() * (C19/2)^2 * D19 /1000</f>
        <v>2.9233500940360848</v>
      </c>
      <c r="F19">
        <v>2</v>
      </c>
      <c r="G19" s="2">
        <f>E19*F$4</f>
        <v>1.8417105592427334</v>
      </c>
      <c r="H19" s="1">
        <f>F19*G19</f>
        <v>3.6834211184854668</v>
      </c>
      <c r="I19" s="1">
        <f>H19*2.2</f>
        <v>8.1035264606680268</v>
      </c>
      <c r="L19" s="2">
        <f>L18/L14*L16</f>
        <v>13.888888888888888</v>
      </c>
      <c r="M19" t="s">
        <v>18</v>
      </c>
    </row>
    <row r="20" spans="1:13">
      <c r="A20" s="26">
        <v>3.37</v>
      </c>
      <c r="B20" s="26">
        <v>21</v>
      </c>
      <c r="C20" s="26">
        <f t="shared" si="9"/>
        <v>8.559800000000001</v>
      </c>
      <c r="D20" s="26">
        <f t="shared" si="9"/>
        <v>53.34</v>
      </c>
      <c r="E20" s="27">
        <f>PI() * (C20/2)^2 * D20 /1000</f>
        <v>3.0695175987378898</v>
      </c>
      <c r="F20" s="26">
        <v>1</v>
      </c>
      <c r="G20" s="27">
        <f>E20*F$4</f>
        <v>1.9337960872048705</v>
      </c>
      <c r="H20" s="28">
        <f>F20*G20</f>
        <v>1.9337960872048705</v>
      </c>
      <c r="I20" s="28">
        <f>H20*2.2</f>
        <v>4.2543513918507152</v>
      </c>
      <c r="J20" t="s">
        <v>375</v>
      </c>
    </row>
    <row r="21" spans="1:13">
      <c r="A21">
        <v>3.87</v>
      </c>
      <c r="B21">
        <v>18</v>
      </c>
      <c r="C21">
        <f t="shared" si="9"/>
        <v>9.8298000000000005</v>
      </c>
      <c r="D21">
        <f t="shared" si="9"/>
        <v>45.72</v>
      </c>
      <c r="E21" s="2">
        <f>PI() * (C21/2)^2 * D21 /1000</f>
        <v>3.4696483918174978</v>
      </c>
      <c r="F21">
        <v>1</v>
      </c>
      <c r="G21" s="2">
        <f>E21*F$4</f>
        <v>2.1858784868450236</v>
      </c>
      <c r="H21" s="1">
        <f>F21*G21</f>
        <v>2.1858784868450236</v>
      </c>
      <c r="I21" s="1">
        <f>H21*2.2</f>
        <v>4.8089326710590523</v>
      </c>
    </row>
    <row r="23" spans="1:13">
      <c r="A23">
        <v>3.9980000000000002</v>
      </c>
      <c r="B23">
        <v>48</v>
      </c>
      <c r="C23">
        <f>A23*2.54</f>
        <v>10.154920000000001</v>
      </c>
      <c r="D23">
        <f>B23*2.54</f>
        <v>121.92</v>
      </c>
      <c r="E23" s="2">
        <f>PI() * (C23/2)^2 * D23 /1000</f>
        <v>9.8745621632254927</v>
      </c>
    </row>
    <row r="24" spans="1:13">
      <c r="A24">
        <v>2.0470000000000002</v>
      </c>
      <c r="B24">
        <v>48</v>
      </c>
      <c r="C24">
        <f>A24*2.54</f>
        <v>5.1993800000000006</v>
      </c>
      <c r="D24">
        <f>B24*2.54</f>
        <v>121.92</v>
      </c>
      <c r="E24" s="2">
        <f>PI() * (C24/2)^2 * D24 /1000</f>
        <v>2.5886179237321847</v>
      </c>
      <c r="F24">
        <v>2</v>
      </c>
      <c r="G24" s="2">
        <f>E24*F$4</f>
        <v>1.6308292919512763</v>
      </c>
      <c r="H24" s="1">
        <f>F24*G24</f>
        <v>3.2616585839025527</v>
      </c>
      <c r="I24" s="1">
        <f>H24*2.2</f>
        <v>7.1756488845856161</v>
      </c>
    </row>
    <row r="25" spans="1:13">
      <c r="K25" t="s">
        <v>358</v>
      </c>
      <c r="L25">
        <v>3.1</v>
      </c>
      <c r="M25" t="s">
        <v>356</v>
      </c>
    </row>
    <row r="26" spans="1:13">
      <c r="K26" t="s">
        <v>359</v>
      </c>
      <c r="L26">
        <v>250</v>
      </c>
      <c r="M26" t="s">
        <v>357</v>
      </c>
    </row>
    <row r="27" spans="1:13">
      <c r="K27" t="s">
        <v>360</v>
      </c>
      <c r="L27">
        <v>50</v>
      </c>
      <c r="M27" t="s">
        <v>357</v>
      </c>
    </row>
    <row r="28" spans="1:13">
      <c r="K28" t="s">
        <v>362</v>
      </c>
      <c r="L28" s="1">
        <f>L25*(L26+100)/(L27+100)</f>
        <v>7.2333333333333334</v>
      </c>
      <c r="M28" t="s">
        <v>356</v>
      </c>
    </row>
    <row r="29" spans="1:13">
      <c r="K29" t="s">
        <v>361</v>
      </c>
      <c r="L29">
        <v>5</v>
      </c>
      <c r="M29" t="s">
        <v>18</v>
      </c>
    </row>
    <row r="30" spans="1:13">
      <c r="K30" t="s">
        <v>363</v>
      </c>
      <c r="L30" s="1">
        <f>L28/L29*60</f>
        <v>86.800000000000011</v>
      </c>
      <c r="M30" t="s">
        <v>364</v>
      </c>
    </row>
  </sheetData>
  <hyperlinks>
    <hyperlink ref="I3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0"/>
  <sheetViews>
    <sheetView workbookViewId="0">
      <selection activeCell="G8" sqref="G8"/>
    </sheetView>
  </sheetViews>
  <sheetFormatPr baseColWidth="10" defaultRowHeight="16"/>
  <cols>
    <col min="1" max="1" width="17.6640625" customWidth="1"/>
    <col min="2" max="2" width="4" customWidth="1"/>
    <col min="3" max="3" width="38" customWidth="1"/>
    <col min="4" max="4" width="19.5" customWidth="1"/>
    <col min="5" max="5" width="17.33203125" customWidth="1"/>
    <col min="6" max="6" width="19.33203125" customWidth="1"/>
    <col min="7" max="7" width="12.5" customWidth="1"/>
  </cols>
  <sheetData>
    <row r="1" spans="1:7">
      <c r="C1" t="s">
        <v>367</v>
      </c>
      <c r="D1" t="s">
        <v>701</v>
      </c>
      <c r="E1" t="s">
        <v>373</v>
      </c>
      <c r="F1" t="s">
        <v>700</v>
      </c>
      <c r="G1" t="s">
        <v>702</v>
      </c>
    </row>
    <row r="3" spans="1:7">
      <c r="A3" t="s">
        <v>70</v>
      </c>
      <c r="C3" t="s">
        <v>368</v>
      </c>
      <c r="D3" t="s">
        <v>372</v>
      </c>
    </row>
    <row r="4" spans="1:7">
      <c r="C4" t="s">
        <v>36</v>
      </c>
    </row>
    <row r="5" spans="1:7">
      <c r="B5">
        <v>4</v>
      </c>
      <c r="C5" t="s">
        <v>371</v>
      </c>
    </row>
    <row r="6" spans="1:7">
      <c r="B6">
        <v>4</v>
      </c>
      <c r="C6" t="s">
        <v>369</v>
      </c>
    </row>
    <row r="7" spans="1:7">
      <c r="B7">
        <v>2</v>
      </c>
      <c r="C7" t="s">
        <v>370</v>
      </c>
    </row>
    <row r="8" spans="1:7">
      <c r="B8">
        <v>4</v>
      </c>
      <c r="C8" t="s">
        <v>81</v>
      </c>
    </row>
    <row r="9" spans="1:7">
      <c r="B9">
        <v>4</v>
      </c>
      <c r="C9" t="s">
        <v>80</v>
      </c>
    </row>
    <row r="10" spans="1:7">
      <c r="B10">
        <v>16</v>
      </c>
      <c r="C10" t="s">
        <v>91</v>
      </c>
    </row>
    <row r="11" spans="1:7">
      <c r="B11">
        <v>32</v>
      </c>
      <c r="C11" t="s">
        <v>92</v>
      </c>
    </row>
    <row r="13" spans="1:7">
      <c r="A13" t="s">
        <v>37</v>
      </c>
      <c r="C13" t="s">
        <v>37</v>
      </c>
    </row>
    <row r="14" spans="1:7">
      <c r="C14" t="s">
        <v>38</v>
      </c>
      <c r="D14" t="s">
        <v>365</v>
      </c>
      <c r="G14" t="s">
        <v>366</v>
      </c>
    </row>
    <row r="15" spans="1:7">
      <c r="C15" t="s">
        <v>39</v>
      </c>
    </row>
    <row r="16" spans="1:7">
      <c r="C16" t="s">
        <v>40</v>
      </c>
    </row>
    <row r="17" spans="1:3">
      <c r="C17" t="s">
        <v>41</v>
      </c>
    </row>
    <row r="18" spans="1:3">
      <c r="C18" t="s">
        <v>42</v>
      </c>
    </row>
    <row r="19" spans="1:3">
      <c r="C19" t="s">
        <v>43</v>
      </c>
    </row>
    <row r="20" spans="1:3">
      <c r="C20" t="s">
        <v>40</v>
      </c>
    </row>
    <row r="21" spans="1:3">
      <c r="B21">
        <v>4</v>
      </c>
      <c r="C21" t="s">
        <v>66</v>
      </c>
    </row>
    <row r="22" spans="1:3">
      <c r="C22" t="s">
        <v>73</v>
      </c>
    </row>
    <row r="23" spans="1:3">
      <c r="B23">
        <v>2</v>
      </c>
      <c r="C23" t="s">
        <v>74</v>
      </c>
    </row>
    <row r="24" spans="1:3">
      <c r="B24">
        <v>4</v>
      </c>
      <c r="C24" t="s">
        <v>89</v>
      </c>
    </row>
    <row r="25" spans="1:3">
      <c r="B25">
        <v>4</v>
      </c>
      <c r="C25" t="s">
        <v>90</v>
      </c>
    </row>
    <row r="27" spans="1:3">
      <c r="A27" t="s">
        <v>67</v>
      </c>
      <c r="C27" t="s">
        <v>44</v>
      </c>
    </row>
    <row r="28" spans="1:3">
      <c r="C28" t="s">
        <v>47</v>
      </c>
    </row>
    <row r="29" spans="1:3">
      <c r="C29" t="s">
        <v>45</v>
      </c>
    </row>
    <row r="30" spans="1:3">
      <c r="C30" t="s">
        <v>48</v>
      </c>
    </row>
    <row r="31" spans="1:3">
      <c r="B31">
        <v>2</v>
      </c>
      <c r="C31" t="s">
        <v>46</v>
      </c>
    </row>
    <row r="32" spans="1:3">
      <c r="C32" t="s">
        <v>49</v>
      </c>
    </row>
    <row r="33" spans="1:3">
      <c r="C33" t="s">
        <v>50</v>
      </c>
    </row>
    <row r="34" spans="1:3">
      <c r="C34" t="s">
        <v>82</v>
      </c>
    </row>
    <row r="35" spans="1:3">
      <c r="B35">
        <v>4</v>
      </c>
      <c r="C35" t="s">
        <v>88</v>
      </c>
    </row>
    <row r="37" spans="1:3">
      <c r="A37" t="s">
        <v>68</v>
      </c>
      <c r="C37" t="s">
        <v>51</v>
      </c>
    </row>
    <row r="38" spans="1:3">
      <c r="C38" t="s">
        <v>52</v>
      </c>
    </row>
    <row r="39" spans="1:3">
      <c r="C39" t="s">
        <v>53</v>
      </c>
    </row>
    <row r="40" spans="1:3">
      <c r="C40" t="s">
        <v>54</v>
      </c>
    </row>
    <row r="41" spans="1:3">
      <c r="C41" t="s">
        <v>55</v>
      </c>
    </row>
    <row r="42" spans="1:3">
      <c r="C42" t="s">
        <v>56</v>
      </c>
    </row>
    <row r="43" spans="1:3">
      <c r="C43" t="s">
        <v>57</v>
      </c>
    </row>
    <row r="44" spans="1:3">
      <c r="C44" t="s">
        <v>58</v>
      </c>
    </row>
    <row r="45" spans="1:3">
      <c r="C45" t="s">
        <v>59</v>
      </c>
    </row>
    <row r="46" spans="1:3">
      <c r="B46">
        <v>6</v>
      </c>
      <c r="C46" t="s">
        <v>87</v>
      </c>
    </row>
    <row r="49" spans="1:3">
      <c r="A49" t="s">
        <v>69</v>
      </c>
      <c r="B49">
        <v>2</v>
      </c>
      <c r="C49" t="s">
        <v>60</v>
      </c>
    </row>
    <row r="50" spans="1:3">
      <c r="C50" t="s">
        <v>61</v>
      </c>
    </row>
    <row r="51" spans="1:3">
      <c r="C51" t="s">
        <v>62</v>
      </c>
    </row>
    <row r="52" spans="1:3">
      <c r="C52" t="s">
        <v>63</v>
      </c>
    </row>
    <row r="53" spans="1:3">
      <c r="C53" t="s">
        <v>64</v>
      </c>
    </row>
    <row r="54" spans="1:3">
      <c r="C54" t="s">
        <v>65</v>
      </c>
    </row>
    <row r="55" spans="1:3">
      <c r="C55" t="s">
        <v>71</v>
      </c>
    </row>
    <row r="56" spans="1:3">
      <c r="B56">
        <v>2</v>
      </c>
      <c r="C56" t="s">
        <v>72</v>
      </c>
    </row>
    <row r="57" spans="1:3">
      <c r="C57" t="s">
        <v>168</v>
      </c>
    </row>
    <row r="58" spans="1:3">
      <c r="C58" t="s">
        <v>169</v>
      </c>
    </row>
    <row r="59" spans="1:3">
      <c r="C59" t="s">
        <v>170</v>
      </c>
    </row>
    <row r="60" spans="1:3">
      <c r="C60" t="s">
        <v>171</v>
      </c>
    </row>
    <row r="61" spans="1:3">
      <c r="C61" t="s">
        <v>172</v>
      </c>
    </row>
    <row r="62" spans="1:3">
      <c r="C62" t="s">
        <v>173</v>
      </c>
    </row>
    <row r="64" spans="1:3">
      <c r="A64" t="s">
        <v>75</v>
      </c>
      <c r="C64" t="s">
        <v>76</v>
      </c>
    </row>
    <row r="65" spans="1:3">
      <c r="C65" t="s">
        <v>77</v>
      </c>
    </row>
    <row r="66" spans="1:3">
      <c r="C66" t="s">
        <v>78</v>
      </c>
    </row>
    <row r="67" spans="1:3">
      <c r="C67" t="s">
        <v>79</v>
      </c>
    </row>
    <row r="68" spans="1:3">
      <c r="C68" t="s">
        <v>83</v>
      </c>
    </row>
    <row r="69" spans="1:3">
      <c r="C69" t="s">
        <v>84</v>
      </c>
    </row>
    <row r="70" spans="1:3">
      <c r="B70">
        <v>4</v>
      </c>
      <c r="C70" t="s">
        <v>85</v>
      </c>
    </row>
    <row r="71" spans="1:3">
      <c r="B71">
        <v>4</v>
      </c>
      <c r="C71" t="s">
        <v>86</v>
      </c>
    </row>
    <row r="72" spans="1:3">
      <c r="C72" t="s">
        <v>174</v>
      </c>
    </row>
    <row r="73" spans="1:3">
      <c r="C73" t="s">
        <v>93</v>
      </c>
    </row>
    <row r="74" spans="1:3">
      <c r="C74" t="s">
        <v>94</v>
      </c>
    </row>
    <row r="75" spans="1:3">
      <c r="C75" t="s">
        <v>96</v>
      </c>
    </row>
    <row r="78" spans="1:3">
      <c r="A78" t="s">
        <v>95</v>
      </c>
      <c r="C78" t="s">
        <v>97</v>
      </c>
    </row>
    <row r="79" spans="1:3">
      <c r="C79" t="s">
        <v>97</v>
      </c>
    </row>
    <row r="80" spans="1:3">
      <c r="C80" t="s">
        <v>98</v>
      </c>
    </row>
    <row r="81" spans="1:3">
      <c r="C81" t="s">
        <v>99</v>
      </c>
    </row>
    <row r="82" spans="1:3">
      <c r="C82" t="s">
        <v>101</v>
      </c>
    </row>
    <row r="83" spans="1:3">
      <c r="C83" t="s">
        <v>100</v>
      </c>
    </row>
    <row r="84" spans="1:3">
      <c r="C84" t="s">
        <v>102</v>
      </c>
    </row>
    <row r="87" spans="1:3">
      <c r="A87" t="s">
        <v>103</v>
      </c>
      <c r="B87">
        <v>4</v>
      </c>
      <c r="C87" t="s">
        <v>104</v>
      </c>
    </row>
    <row r="88" spans="1:3">
      <c r="B88">
        <v>4</v>
      </c>
      <c r="C88" t="s">
        <v>130</v>
      </c>
    </row>
    <row r="89" spans="1:3">
      <c r="B89">
        <v>6</v>
      </c>
      <c r="C89" t="s">
        <v>129</v>
      </c>
    </row>
    <row r="90" spans="1:3">
      <c r="B90">
        <v>2</v>
      </c>
      <c r="C90" t="s">
        <v>105</v>
      </c>
    </row>
    <row r="91" spans="1:3">
      <c r="B91">
        <v>1</v>
      </c>
      <c r="C91" t="s">
        <v>106</v>
      </c>
    </row>
    <row r="92" spans="1:3">
      <c r="B92">
        <v>2</v>
      </c>
      <c r="C92" t="s">
        <v>107</v>
      </c>
    </row>
    <row r="93" spans="1:3">
      <c r="B93">
        <v>6</v>
      </c>
      <c r="C93" t="s">
        <v>108</v>
      </c>
    </row>
    <row r="94" spans="1:3">
      <c r="B94">
        <v>8</v>
      </c>
      <c r="C94" t="s">
        <v>109</v>
      </c>
    </row>
    <row r="97" spans="1:3">
      <c r="A97" t="s">
        <v>110</v>
      </c>
      <c r="B97">
        <v>2</v>
      </c>
      <c r="C97" t="s">
        <v>111</v>
      </c>
    </row>
    <row r="98" spans="1:3">
      <c r="B98">
        <v>4</v>
      </c>
      <c r="C98" t="s">
        <v>112</v>
      </c>
    </row>
    <row r="99" spans="1:3">
      <c r="B99">
        <v>2</v>
      </c>
      <c r="C99" t="s">
        <v>113</v>
      </c>
    </row>
    <row r="100" spans="1:3">
      <c r="B100">
        <v>4</v>
      </c>
      <c r="C100" t="s">
        <v>114</v>
      </c>
    </row>
    <row r="101" spans="1:3">
      <c r="B101">
        <v>8</v>
      </c>
      <c r="C101" t="s">
        <v>115</v>
      </c>
    </row>
    <row r="102" spans="1:3">
      <c r="B102">
        <v>2</v>
      </c>
      <c r="C102" t="s">
        <v>116</v>
      </c>
    </row>
    <row r="103" spans="1:3">
      <c r="B103">
        <v>2</v>
      </c>
      <c r="C103" t="s">
        <v>117</v>
      </c>
    </row>
    <row r="104" spans="1:3">
      <c r="B104">
        <v>2</v>
      </c>
      <c r="C104" t="s">
        <v>118</v>
      </c>
    </row>
    <row r="105" spans="1:3">
      <c r="B105">
        <v>2</v>
      </c>
      <c r="C105" t="s">
        <v>119</v>
      </c>
    </row>
    <row r="106" spans="1:3">
      <c r="B106">
        <v>5</v>
      </c>
      <c r="C106" t="s">
        <v>195</v>
      </c>
    </row>
    <row r="107" spans="1:3">
      <c r="B107">
        <v>1</v>
      </c>
      <c r="C107" t="s">
        <v>196</v>
      </c>
    </row>
    <row r="110" spans="1:3">
      <c r="A110" t="s">
        <v>193</v>
      </c>
      <c r="B110">
        <v>2</v>
      </c>
      <c r="C110" t="s">
        <v>120</v>
      </c>
    </row>
    <row r="111" spans="1:3">
      <c r="B111">
        <v>2</v>
      </c>
      <c r="C111" t="s">
        <v>121</v>
      </c>
    </row>
    <row r="112" spans="1:3">
      <c r="B112">
        <v>2</v>
      </c>
      <c r="C112" t="s">
        <v>124</v>
      </c>
    </row>
    <row r="113" spans="1:3">
      <c r="B113">
        <v>2</v>
      </c>
      <c r="C113" t="s">
        <v>122</v>
      </c>
    </row>
    <row r="114" spans="1:3">
      <c r="B114">
        <v>2</v>
      </c>
      <c r="C114" t="s">
        <v>125</v>
      </c>
    </row>
    <row r="115" spans="1:3">
      <c r="C115" t="s">
        <v>126</v>
      </c>
    </row>
    <row r="116" spans="1:3">
      <c r="C116" t="s">
        <v>127</v>
      </c>
    </row>
    <row r="117" spans="1:3">
      <c r="C117" t="s">
        <v>128</v>
      </c>
    </row>
    <row r="118" spans="1:3">
      <c r="C118" t="s">
        <v>194</v>
      </c>
    </row>
    <row r="119" spans="1:3">
      <c r="C119" t="s">
        <v>139</v>
      </c>
    </row>
    <row r="120" spans="1:3">
      <c r="B120">
        <v>2</v>
      </c>
      <c r="C120" t="s">
        <v>227</v>
      </c>
    </row>
    <row r="122" spans="1:3">
      <c r="A122" t="s">
        <v>147</v>
      </c>
      <c r="B122">
        <v>2</v>
      </c>
      <c r="C122" t="s">
        <v>123</v>
      </c>
    </row>
    <row r="123" spans="1:3">
      <c r="C123" t="s">
        <v>135</v>
      </c>
    </row>
    <row r="124" spans="1:3">
      <c r="C124" t="s">
        <v>131</v>
      </c>
    </row>
    <row r="125" spans="1:3">
      <c r="C125" t="s">
        <v>132</v>
      </c>
    </row>
    <row r="126" spans="1:3">
      <c r="C126" t="s">
        <v>136</v>
      </c>
    </row>
    <row r="127" spans="1:3">
      <c r="C127" t="s">
        <v>133</v>
      </c>
    </row>
    <row r="128" spans="1:3">
      <c r="C128" t="s">
        <v>138</v>
      </c>
    </row>
    <row r="129" spans="1:3">
      <c r="C129" t="s">
        <v>134</v>
      </c>
    </row>
    <row r="132" spans="1:3">
      <c r="A132" t="s">
        <v>146</v>
      </c>
      <c r="C132" t="s">
        <v>140</v>
      </c>
    </row>
    <row r="133" spans="1:3">
      <c r="C133" t="s">
        <v>137</v>
      </c>
    </row>
    <row r="134" spans="1:3">
      <c r="C134" t="s">
        <v>141</v>
      </c>
    </row>
    <row r="135" spans="1:3">
      <c r="C135" t="s">
        <v>142</v>
      </c>
    </row>
    <row r="136" spans="1:3">
      <c r="C136" t="s">
        <v>143</v>
      </c>
    </row>
    <row r="137" spans="1:3">
      <c r="C137" t="s">
        <v>144</v>
      </c>
    </row>
    <row r="138" spans="1:3">
      <c r="C138" t="s">
        <v>145</v>
      </c>
    </row>
    <row r="139" spans="1:3">
      <c r="C139" t="s">
        <v>148</v>
      </c>
    </row>
    <row r="140" spans="1:3">
      <c r="C140" t="s">
        <v>149</v>
      </c>
    </row>
    <row r="141" spans="1:3">
      <c r="C141" t="s">
        <v>150</v>
      </c>
    </row>
    <row r="142" spans="1:3">
      <c r="C142" t="s">
        <v>151</v>
      </c>
    </row>
    <row r="145" spans="1:3">
      <c r="A145" t="s">
        <v>152</v>
      </c>
      <c r="C145" t="s">
        <v>153</v>
      </c>
    </row>
    <row r="146" spans="1:3">
      <c r="C146" t="s">
        <v>154</v>
      </c>
    </row>
    <row r="147" spans="1:3">
      <c r="C147" t="s">
        <v>159</v>
      </c>
    </row>
    <row r="148" spans="1:3">
      <c r="C148" t="s">
        <v>158</v>
      </c>
    </row>
    <row r="149" spans="1:3">
      <c r="C149" t="s">
        <v>155</v>
      </c>
    </row>
    <row r="150" spans="1:3">
      <c r="C150" t="s">
        <v>156</v>
      </c>
    </row>
    <row r="151" spans="1:3">
      <c r="C151" t="s">
        <v>157</v>
      </c>
    </row>
    <row r="152" spans="1:3">
      <c r="C152" t="s">
        <v>161</v>
      </c>
    </row>
    <row r="153" spans="1:3">
      <c r="C153" t="s">
        <v>160</v>
      </c>
    </row>
    <row r="154" spans="1:3">
      <c r="C154" t="s">
        <v>163</v>
      </c>
    </row>
    <row r="155" spans="1:3">
      <c r="C155" t="s">
        <v>162</v>
      </c>
    </row>
    <row r="156" spans="1:3">
      <c r="C156" t="s">
        <v>164</v>
      </c>
    </row>
    <row r="157" spans="1:3">
      <c r="C157" t="s">
        <v>165</v>
      </c>
    </row>
    <row r="158" spans="1:3">
      <c r="C158" t="s">
        <v>166</v>
      </c>
    </row>
    <row r="159" spans="1:3">
      <c r="C159" t="s">
        <v>167</v>
      </c>
    </row>
    <row r="161" spans="1:3">
      <c r="A161" t="s">
        <v>209</v>
      </c>
      <c r="C161" t="s">
        <v>210</v>
      </c>
    </row>
    <row r="162" spans="1:3">
      <c r="C162" t="s">
        <v>211</v>
      </c>
    </row>
    <row r="163" spans="1:3">
      <c r="C163" t="s">
        <v>212</v>
      </c>
    </row>
    <row r="164" spans="1:3">
      <c r="C164" t="s">
        <v>213</v>
      </c>
    </row>
    <row r="166" spans="1:3">
      <c r="A166" t="s">
        <v>175</v>
      </c>
      <c r="C166" t="s">
        <v>176</v>
      </c>
    </row>
    <row r="167" spans="1:3">
      <c r="C167" t="s">
        <v>177</v>
      </c>
    </row>
    <row r="168" spans="1:3">
      <c r="C168" t="s">
        <v>178</v>
      </c>
    </row>
    <row r="169" spans="1:3">
      <c r="C169" t="s">
        <v>179</v>
      </c>
    </row>
    <row r="170" spans="1:3">
      <c r="C170" t="s">
        <v>180</v>
      </c>
    </row>
    <row r="171" spans="1:3">
      <c r="C171" t="s">
        <v>182</v>
      </c>
    </row>
    <row r="172" spans="1:3">
      <c r="C172" t="s">
        <v>183</v>
      </c>
    </row>
    <row r="173" spans="1:3">
      <c r="C173" t="s">
        <v>189</v>
      </c>
    </row>
    <row r="174" spans="1:3">
      <c r="C174" t="s">
        <v>181</v>
      </c>
    </row>
    <row r="175" spans="1:3">
      <c r="C175" t="s">
        <v>184</v>
      </c>
    </row>
    <row r="176" spans="1:3">
      <c r="B176">
        <v>6</v>
      </c>
      <c r="C176" t="s">
        <v>187</v>
      </c>
    </row>
    <row r="177" spans="1:3">
      <c r="C177" t="s">
        <v>186</v>
      </c>
    </row>
    <row r="178" spans="1:3">
      <c r="C178" t="s">
        <v>185</v>
      </c>
    </row>
    <row r="179" spans="1:3">
      <c r="C179" t="s">
        <v>188</v>
      </c>
    </row>
    <row r="182" spans="1:3">
      <c r="C182" t="s">
        <v>190</v>
      </c>
    </row>
    <row r="183" spans="1:3">
      <c r="C183" t="s">
        <v>191</v>
      </c>
    </row>
    <row r="184" spans="1:3">
      <c r="C184" t="s">
        <v>192</v>
      </c>
    </row>
    <row r="185" spans="1:3">
      <c r="C185" t="s">
        <v>199</v>
      </c>
    </row>
    <row r="186" spans="1:3">
      <c r="C186" t="s">
        <v>198</v>
      </c>
    </row>
    <row r="187" spans="1:3">
      <c r="C187" t="s">
        <v>200</v>
      </c>
    </row>
    <row r="188" spans="1:3">
      <c r="C188" t="s">
        <v>225</v>
      </c>
    </row>
    <row r="190" spans="1:3">
      <c r="A190" t="s">
        <v>226</v>
      </c>
      <c r="C190" t="s">
        <v>197</v>
      </c>
    </row>
    <row r="191" spans="1:3">
      <c r="C191" t="s">
        <v>201</v>
      </c>
    </row>
    <row r="192" spans="1:3">
      <c r="C192" t="s">
        <v>202</v>
      </c>
    </row>
    <row r="193" spans="1:3">
      <c r="C193" t="s">
        <v>203</v>
      </c>
    </row>
    <row r="194" spans="1:3">
      <c r="C194" t="s">
        <v>204</v>
      </c>
    </row>
    <row r="195" spans="1:3">
      <c r="B195">
        <v>3</v>
      </c>
      <c r="C195" t="s">
        <v>232</v>
      </c>
    </row>
    <row r="196" spans="1:3">
      <c r="C196" t="s">
        <v>205</v>
      </c>
    </row>
    <row r="198" spans="1:3">
      <c r="A198" t="s">
        <v>215</v>
      </c>
      <c r="C198" t="s">
        <v>206</v>
      </c>
    </row>
    <row r="199" spans="1:3">
      <c r="C199" t="s">
        <v>207</v>
      </c>
    </row>
    <row r="200" spans="1:3">
      <c r="C200" t="s">
        <v>208</v>
      </c>
    </row>
    <row r="201" spans="1:3">
      <c r="C201" t="s">
        <v>214</v>
      </c>
    </row>
    <row r="203" spans="1:3">
      <c r="A203" t="s">
        <v>220</v>
      </c>
      <c r="C203" t="s">
        <v>216</v>
      </c>
    </row>
    <row r="204" spans="1:3">
      <c r="C204" t="s">
        <v>217</v>
      </c>
    </row>
    <row r="205" spans="1:3">
      <c r="C205" t="s">
        <v>218</v>
      </c>
    </row>
    <row r="206" spans="1:3">
      <c r="C206" t="s">
        <v>219</v>
      </c>
    </row>
    <row r="208" spans="1:3">
      <c r="A208" t="s">
        <v>224</v>
      </c>
      <c r="C208" t="s">
        <v>221</v>
      </c>
    </row>
    <row r="209" spans="3:3">
      <c r="C209" t="s">
        <v>222</v>
      </c>
    </row>
    <row r="210" spans="3:3">
      <c r="C210" t="s">
        <v>223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CA2A-853B-ED4B-9B61-3E2DB850F93C}">
  <dimension ref="B1:F87"/>
  <sheetViews>
    <sheetView topLeftCell="A16" workbookViewId="0">
      <selection activeCell="F81" sqref="F81"/>
    </sheetView>
  </sheetViews>
  <sheetFormatPr baseColWidth="10" defaultRowHeight="16"/>
  <cols>
    <col min="2" max="2" width="20.6640625" customWidth="1"/>
    <col min="3" max="3" width="9.5" customWidth="1"/>
    <col min="4" max="4" width="9.83203125" customWidth="1"/>
    <col min="5" max="5" width="20.6640625" customWidth="1"/>
  </cols>
  <sheetData>
    <row r="1" spans="2:6">
      <c r="B1" s="34" t="s">
        <v>405</v>
      </c>
      <c r="C1" s="39" t="s">
        <v>544</v>
      </c>
    </row>
    <row r="2" spans="2:6">
      <c r="B2" s="68" t="s">
        <v>547</v>
      </c>
      <c r="C2" s="36" t="s">
        <v>402</v>
      </c>
    </row>
    <row r="3" spans="2:6">
      <c r="C3" s="37" t="s">
        <v>580</v>
      </c>
    </row>
    <row r="4" spans="2:6">
      <c r="C4" s="40" t="s">
        <v>581</v>
      </c>
    </row>
    <row r="5" spans="2:6">
      <c r="C5" s="66"/>
    </row>
    <row r="6" spans="2:6">
      <c r="B6" s="34" t="s">
        <v>406</v>
      </c>
      <c r="C6" t="s">
        <v>548</v>
      </c>
      <c r="D6" t="s">
        <v>549</v>
      </c>
      <c r="E6" t="s">
        <v>367</v>
      </c>
      <c r="F6" t="s">
        <v>518</v>
      </c>
    </row>
    <row r="7" spans="2:6">
      <c r="B7" s="34"/>
    </row>
    <row r="8" spans="2:6">
      <c r="B8" t="s">
        <v>407</v>
      </c>
      <c r="C8" t="s">
        <v>506</v>
      </c>
      <c r="D8" t="s">
        <v>561</v>
      </c>
      <c r="E8" t="s">
        <v>407</v>
      </c>
    </row>
    <row r="9" spans="2:6">
      <c r="B9" t="s">
        <v>407</v>
      </c>
      <c r="C9" s="37" t="s">
        <v>574</v>
      </c>
      <c r="D9" s="37" t="s">
        <v>576</v>
      </c>
      <c r="E9" t="s">
        <v>577</v>
      </c>
    </row>
    <row r="10" spans="2:6">
      <c r="B10" t="s">
        <v>408</v>
      </c>
      <c r="C10" t="s">
        <v>448</v>
      </c>
    </row>
    <row r="11" spans="2:6">
      <c r="B11" t="s">
        <v>409</v>
      </c>
      <c r="C11" t="s">
        <v>430</v>
      </c>
    </row>
    <row r="13" spans="2:6">
      <c r="B13" t="s">
        <v>67</v>
      </c>
      <c r="C13" t="s">
        <v>431</v>
      </c>
    </row>
    <row r="14" spans="2:6">
      <c r="B14" t="s">
        <v>578</v>
      </c>
      <c r="C14" s="37" t="s">
        <v>575</v>
      </c>
      <c r="D14" s="37" t="s">
        <v>579</v>
      </c>
    </row>
    <row r="15" spans="2:6">
      <c r="B15" s="67" t="s">
        <v>418</v>
      </c>
      <c r="C15" s="37" t="s">
        <v>432</v>
      </c>
      <c r="D15" s="37" t="s">
        <v>489</v>
      </c>
    </row>
    <row r="16" spans="2:6">
      <c r="B16" t="s">
        <v>410</v>
      </c>
      <c r="C16" t="s">
        <v>433</v>
      </c>
    </row>
    <row r="18" spans="2:5">
      <c r="B18" t="s">
        <v>412</v>
      </c>
      <c r="C18" t="s">
        <v>443</v>
      </c>
      <c r="E18" t="s">
        <v>552</v>
      </c>
    </row>
    <row r="19" spans="2:5">
      <c r="B19" t="s">
        <v>413</v>
      </c>
      <c r="C19" s="37" t="s">
        <v>445</v>
      </c>
      <c r="D19" s="37" t="s">
        <v>562</v>
      </c>
    </row>
    <row r="20" spans="2:5">
      <c r="B20" t="s">
        <v>414</v>
      </c>
      <c r="C20" t="s">
        <v>435</v>
      </c>
    </row>
    <row r="21" spans="2:5">
      <c r="B21" t="s">
        <v>488</v>
      </c>
      <c r="C21" t="s">
        <v>438</v>
      </c>
    </row>
    <row r="22" spans="2:5">
      <c r="B22" t="s">
        <v>416</v>
      </c>
      <c r="C22" s="36" t="s">
        <v>439</v>
      </c>
      <c r="D22" s="36" t="s">
        <v>564</v>
      </c>
      <c r="E22" t="s">
        <v>516</v>
      </c>
    </row>
    <row r="23" spans="2:5">
      <c r="B23" s="67" t="s">
        <v>415</v>
      </c>
      <c r="C23" s="37" t="s">
        <v>436</v>
      </c>
      <c r="D23" s="37" t="s">
        <v>487</v>
      </c>
    </row>
    <row r="25" spans="2:5">
      <c r="B25" t="s">
        <v>417</v>
      </c>
      <c r="C25" t="s">
        <v>444</v>
      </c>
      <c r="E25" t="s">
        <v>553</v>
      </c>
    </row>
    <row r="26" spans="2:5">
      <c r="B26" t="s">
        <v>413</v>
      </c>
      <c r="C26" s="37" t="s">
        <v>446</v>
      </c>
      <c r="D26" s="37" t="s">
        <v>563</v>
      </c>
    </row>
    <row r="27" spans="2:5">
      <c r="B27" t="s">
        <v>414</v>
      </c>
      <c r="C27" t="s">
        <v>440</v>
      </c>
    </row>
    <row r="28" spans="2:5">
      <c r="B28" t="s">
        <v>488</v>
      </c>
      <c r="C28" t="s">
        <v>441</v>
      </c>
    </row>
    <row r="29" spans="2:5">
      <c r="B29" t="s">
        <v>416</v>
      </c>
      <c r="C29" s="36" t="s">
        <v>442</v>
      </c>
      <c r="D29" s="36" t="s">
        <v>565</v>
      </c>
      <c r="E29" t="s">
        <v>516</v>
      </c>
    </row>
    <row r="30" spans="2:5">
      <c r="B30" s="67" t="s">
        <v>415</v>
      </c>
      <c r="C30" s="37" t="s">
        <v>437</v>
      </c>
      <c r="D30" s="37" t="s">
        <v>486</v>
      </c>
    </row>
    <row r="32" spans="2:5">
      <c r="B32" s="67" t="s">
        <v>477</v>
      </c>
      <c r="C32" t="s">
        <v>429</v>
      </c>
      <c r="D32" t="s">
        <v>480</v>
      </c>
    </row>
    <row r="33" spans="2:5">
      <c r="B33" s="67" t="s">
        <v>478</v>
      </c>
      <c r="C33" t="s">
        <v>447</v>
      </c>
      <c r="D33" t="s">
        <v>481</v>
      </c>
    </row>
    <row r="35" spans="2:5">
      <c r="B35" t="s">
        <v>541</v>
      </c>
      <c r="C35" s="39" t="s">
        <v>542</v>
      </c>
      <c r="D35" s="39" t="s">
        <v>554</v>
      </c>
      <c r="E35" t="s">
        <v>543</v>
      </c>
    </row>
    <row r="36" spans="2:5">
      <c r="B36" t="s">
        <v>540</v>
      </c>
      <c r="C36" s="37" t="s">
        <v>434</v>
      </c>
      <c r="D36" s="37" t="s">
        <v>559</v>
      </c>
    </row>
    <row r="38" spans="2:5">
      <c r="B38" t="s">
        <v>536</v>
      </c>
      <c r="C38" t="s">
        <v>507</v>
      </c>
    </row>
    <row r="39" spans="2:5">
      <c r="B39" t="s">
        <v>537</v>
      </c>
      <c r="C39" t="s">
        <v>508</v>
      </c>
      <c r="E39" t="s">
        <v>539</v>
      </c>
    </row>
    <row r="40" spans="2:5">
      <c r="B40" t="s">
        <v>168</v>
      </c>
      <c r="C40" s="37" t="s">
        <v>509</v>
      </c>
      <c r="D40" s="37" t="s">
        <v>560</v>
      </c>
      <c r="E40" t="s">
        <v>517</v>
      </c>
    </row>
    <row r="41" spans="2:5">
      <c r="B41" s="67" t="s">
        <v>538</v>
      </c>
      <c r="C41" t="s">
        <v>510</v>
      </c>
      <c r="D41" t="s">
        <v>511</v>
      </c>
    </row>
    <row r="43" spans="2:5">
      <c r="B43" t="s">
        <v>411</v>
      </c>
      <c r="C43" t="s">
        <v>475</v>
      </c>
    </row>
    <row r="44" spans="2:5">
      <c r="B44" s="67" t="s">
        <v>476</v>
      </c>
      <c r="C44" t="s">
        <v>479</v>
      </c>
      <c r="D44" t="s">
        <v>482</v>
      </c>
    </row>
    <row r="45" spans="2:5">
      <c r="B45" s="67" t="s">
        <v>504</v>
      </c>
      <c r="C45" s="66" t="s">
        <v>428</v>
      </c>
      <c r="D45" t="s">
        <v>505</v>
      </c>
    </row>
    <row r="47" spans="2:5">
      <c r="B47" s="34" t="s">
        <v>419</v>
      </c>
    </row>
    <row r="49" spans="2:5">
      <c r="B49" s="67" t="s">
        <v>420</v>
      </c>
      <c r="C49" s="40" t="s">
        <v>449</v>
      </c>
      <c r="D49" s="40" t="s">
        <v>483</v>
      </c>
    </row>
    <row r="50" spans="2:5">
      <c r="B50" s="67" t="s">
        <v>421</v>
      </c>
      <c r="C50" s="40" t="s">
        <v>450</v>
      </c>
      <c r="D50" s="40" t="s">
        <v>484</v>
      </c>
    </row>
    <row r="51" spans="2:5">
      <c r="B51" s="67" t="s">
        <v>469</v>
      </c>
      <c r="C51" s="40" t="s">
        <v>468</v>
      </c>
      <c r="D51" s="40" t="s">
        <v>485</v>
      </c>
    </row>
    <row r="53" spans="2:5">
      <c r="B53" t="s">
        <v>412</v>
      </c>
      <c r="C53" t="s">
        <v>451</v>
      </c>
      <c r="E53" t="s">
        <v>550</v>
      </c>
    </row>
    <row r="54" spans="2:5">
      <c r="B54" t="s">
        <v>422</v>
      </c>
      <c r="C54" s="38" t="s">
        <v>453</v>
      </c>
      <c r="D54" s="36" t="s">
        <v>566</v>
      </c>
      <c r="E54" t="s">
        <v>516</v>
      </c>
    </row>
    <row r="55" spans="2:5">
      <c r="B55" t="s">
        <v>423</v>
      </c>
      <c r="C55" s="38" t="s">
        <v>454</v>
      </c>
      <c r="D55" s="36" t="s">
        <v>567</v>
      </c>
      <c r="E55" t="s">
        <v>516</v>
      </c>
    </row>
    <row r="56" spans="2:5">
      <c r="B56" t="s">
        <v>424</v>
      </c>
      <c r="C56" s="35" t="s">
        <v>455</v>
      </c>
    </row>
    <row r="57" spans="2:5">
      <c r="B57" t="s">
        <v>425</v>
      </c>
      <c r="C57" s="35" t="s">
        <v>456</v>
      </c>
    </row>
    <row r="59" spans="2:5">
      <c r="B59" t="s">
        <v>417</v>
      </c>
      <c r="C59" t="s">
        <v>452</v>
      </c>
      <c r="E59" t="s">
        <v>551</v>
      </c>
    </row>
    <row r="60" spans="2:5">
      <c r="B60" t="s">
        <v>422</v>
      </c>
      <c r="C60" s="36" t="s">
        <v>457</v>
      </c>
      <c r="D60" s="36" t="s">
        <v>568</v>
      </c>
      <c r="E60" t="s">
        <v>516</v>
      </c>
    </row>
    <row r="61" spans="2:5">
      <c r="B61" t="s">
        <v>423</v>
      </c>
      <c r="C61" s="36" t="s">
        <v>458</v>
      </c>
      <c r="D61" s="36" t="s">
        <v>569</v>
      </c>
      <c r="E61" t="s">
        <v>516</v>
      </c>
    </row>
    <row r="62" spans="2:5">
      <c r="B62" t="s">
        <v>424</v>
      </c>
      <c r="C62" t="s">
        <v>459</v>
      </c>
    </row>
    <row r="63" spans="2:5">
      <c r="B63" t="s">
        <v>425</v>
      </c>
      <c r="C63" t="s">
        <v>460</v>
      </c>
    </row>
    <row r="65" spans="2:5">
      <c r="B65" t="s">
        <v>426</v>
      </c>
      <c r="C65" s="36" t="s">
        <v>461</v>
      </c>
      <c r="D65" s="36" t="s">
        <v>570</v>
      </c>
      <c r="E65" t="s">
        <v>516</v>
      </c>
    </row>
    <row r="66" spans="2:5">
      <c r="B66" s="67" t="s">
        <v>555</v>
      </c>
      <c r="C66" t="s">
        <v>474</v>
      </c>
      <c r="D66" t="s">
        <v>497</v>
      </c>
    </row>
    <row r="67" spans="2:5">
      <c r="B67" t="s">
        <v>427</v>
      </c>
      <c r="C67" s="36" t="s">
        <v>462</v>
      </c>
      <c r="D67" s="36" t="s">
        <v>571</v>
      </c>
      <c r="E67" t="s">
        <v>516</v>
      </c>
    </row>
    <row r="69" spans="2:5">
      <c r="B69" t="s">
        <v>463</v>
      </c>
      <c r="C69" t="s">
        <v>464</v>
      </c>
    </row>
    <row r="70" spans="2:5">
      <c r="B70" s="67" t="s">
        <v>467</v>
      </c>
      <c r="C70" t="s">
        <v>470</v>
      </c>
      <c r="D70" t="s">
        <v>545</v>
      </c>
    </row>
    <row r="71" spans="2:5">
      <c r="B71" s="67" t="s">
        <v>467</v>
      </c>
      <c r="C71" s="40" t="s">
        <v>470</v>
      </c>
      <c r="D71" s="40" t="s">
        <v>490</v>
      </c>
    </row>
    <row r="72" spans="2:5">
      <c r="B72" t="s">
        <v>465</v>
      </c>
      <c r="C72" t="s">
        <v>466</v>
      </c>
    </row>
    <row r="73" spans="2:5">
      <c r="B73" s="67" t="s">
        <v>471</v>
      </c>
      <c r="C73" s="66" t="s">
        <v>472</v>
      </c>
      <c r="D73" t="s">
        <v>546</v>
      </c>
    </row>
    <row r="74" spans="2:5">
      <c r="B74" s="67" t="s">
        <v>471</v>
      </c>
      <c r="C74" s="40" t="s">
        <v>472</v>
      </c>
      <c r="D74" s="40" t="s">
        <v>491</v>
      </c>
    </row>
    <row r="75" spans="2:5">
      <c r="B75" s="67" t="s">
        <v>473</v>
      </c>
      <c r="C75" s="40" t="s">
        <v>493</v>
      </c>
      <c r="D75" s="40" t="s">
        <v>494</v>
      </c>
    </row>
    <row r="76" spans="2:5">
      <c r="B76" s="67" t="s">
        <v>473</v>
      </c>
      <c r="C76" s="66" t="s">
        <v>493</v>
      </c>
      <c r="D76" t="s">
        <v>558</v>
      </c>
    </row>
    <row r="77" spans="2:5">
      <c r="B77" s="67" t="s">
        <v>599</v>
      </c>
      <c r="C77" s="40" t="s">
        <v>598</v>
      </c>
      <c r="D77" s="40" t="s">
        <v>600</v>
      </c>
      <c r="E77" t="s">
        <v>601</v>
      </c>
    </row>
    <row r="79" spans="2:5">
      <c r="B79" s="67" t="s">
        <v>492</v>
      </c>
      <c r="C79" t="s">
        <v>495</v>
      </c>
      <c r="D79" t="s">
        <v>496</v>
      </c>
    </row>
    <row r="80" spans="2:5">
      <c r="B80" s="67" t="s">
        <v>556</v>
      </c>
      <c r="C80" t="s">
        <v>499</v>
      </c>
      <c r="D80" t="s">
        <v>498</v>
      </c>
    </row>
    <row r="81" spans="2:5">
      <c r="B81" s="67" t="s">
        <v>557</v>
      </c>
      <c r="C81" t="s">
        <v>500</v>
      </c>
      <c r="D81" t="s">
        <v>501</v>
      </c>
    </row>
    <row r="82" spans="2:5">
      <c r="B82" s="67" t="s">
        <v>25</v>
      </c>
      <c r="C82" t="s">
        <v>502</v>
      </c>
      <c r="D82" t="s">
        <v>503</v>
      </c>
    </row>
    <row r="83" spans="2:5">
      <c r="B83" s="67" t="s">
        <v>603</v>
      </c>
      <c r="C83" t="s">
        <v>604</v>
      </c>
      <c r="D83" t="s">
        <v>605</v>
      </c>
    </row>
    <row r="85" spans="2:5">
      <c r="B85" t="s">
        <v>512</v>
      </c>
      <c r="C85" t="s">
        <v>466</v>
      </c>
      <c r="D85" t="s">
        <v>514</v>
      </c>
    </row>
    <row r="86" spans="2:5">
      <c r="B86" s="67" t="s">
        <v>606</v>
      </c>
      <c r="C86" t="s">
        <v>607</v>
      </c>
      <c r="D86" t="s">
        <v>608</v>
      </c>
    </row>
    <row r="87" spans="2:5">
      <c r="B87" t="s">
        <v>513</v>
      </c>
      <c r="C87" s="36" t="s">
        <v>515</v>
      </c>
      <c r="D87" s="36" t="s">
        <v>572</v>
      </c>
      <c r="E87" t="s">
        <v>516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AD22-5ABD-AE4D-A650-F4BBFE0C2BBE}">
  <sheetPr>
    <pageSetUpPr fitToPage="1"/>
  </sheetPr>
  <dimension ref="B2:AF49"/>
  <sheetViews>
    <sheetView topLeftCell="E24" workbookViewId="0">
      <selection activeCell="AG51" sqref="AG51"/>
    </sheetView>
  </sheetViews>
  <sheetFormatPr baseColWidth="10" defaultRowHeight="16"/>
  <cols>
    <col min="1" max="1" width="3" customWidth="1"/>
    <col min="2" max="2" width="11.83203125" customWidth="1"/>
    <col min="3" max="20" width="5.6640625" customWidth="1"/>
    <col min="21" max="21" width="6.33203125" customWidth="1"/>
    <col min="22" max="22" width="6" customWidth="1"/>
    <col min="23" max="25" width="0.1640625" customWidth="1"/>
    <col min="27" max="27" width="22" customWidth="1"/>
    <col min="28" max="28" width="7.33203125" customWidth="1"/>
    <col min="29" max="29" width="7.5" customWidth="1"/>
    <col min="30" max="31" width="10.83203125" style="3"/>
  </cols>
  <sheetData>
    <row r="2" spans="2:32">
      <c r="B2" t="s">
        <v>402</v>
      </c>
      <c r="AA2" s="34" t="s">
        <v>402</v>
      </c>
      <c r="AB2" s="34" t="s">
        <v>629</v>
      </c>
      <c r="AC2" s="34" t="s">
        <v>630</v>
      </c>
      <c r="AD2" s="8" t="s">
        <v>631</v>
      </c>
      <c r="AE2" s="8" t="s">
        <v>628</v>
      </c>
      <c r="AF2" s="8" t="s">
        <v>690</v>
      </c>
    </row>
    <row r="3" spans="2:32" ht="17" thickBot="1"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AA3" t="s">
        <v>618</v>
      </c>
      <c r="AB3" t="s">
        <v>453</v>
      </c>
      <c r="AC3" t="s">
        <v>632</v>
      </c>
      <c r="AD3" s="3">
        <v>2</v>
      </c>
      <c r="AE3" s="3" t="s">
        <v>645</v>
      </c>
    </row>
    <row r="4" spans="2:32">
      <c r="B4" t="s">
        <v>403</v>
      </c>
      <c r="C4" s="44" t="s">
        <v>523</v>
      </c>
      <c r="D4" s="45" t="s">
        <v>522</v>
      </c>
      <c r="E4" s="44" t="s">
        <v>523</v>
      </c>
      <c r="F4" s="45" t="s">
        <v>522</v>
      </c>
      <c r="G4" s="44" t="s">
        <v>523</v>
      </c>
      <c r="H4" s="45" t="s">
        <v>522</v>
      </c>
      <c r="I4" s="44" t="s">
        <v>523</v>
      </c>
      <c r="J4" s="45" t="s">
        <v>522</v>
      </c>
      <c r="K4" s="44" t="s">
        <v>523</v>
      </c>
      <c r="L4" s="45" t="s">
        <v>522</v>
      </c>
      <c r="M4" s="44" t="s">
        <v>523</v>
      </c>
      <c r="N4" s="45" t="s">
        <v>522</v>
      </c>
      <c r="O4" s="44" t="s">
        <v>523</v>
      </c>
      <c r="P4" s="45" t="s">
        <v>522</v>
      </c>
      <c r="Q4" s="46" t="s">
        <v>523</v>
      </c>
      <c r="AA4" t="s">
        <v>619</v>
      </c>
      <c r="AB4" t="s">
        <v>454</v>
      </c>
      <c r="AC4" t="s">
        <v>632</v>
      </c>
      <c r="AD4" s="3">
        <v>4</v>
      </c>
      <c r="AE4" s="3" t="s">
        <v>646</v>
      </c>
    </row>
    <row r="5" spans="2:32" ht="17" thickBot="1">
      <c r="C5" s="60" t="s">
        <v>453</v>
      </c>
      <c r="D5" s="62"/>
      <c r="E5" s="60" t="s">
        <v>454</v>
      </c>
      <c r="F5" s="62"/>
      <c r="G5" s="60" t="s">
        <v>457</v>
      </c>
      <c r="H5" s="62"/>
      <c r="I5" s="60" t="s">
        <v>458</v>
      </c>
      <c r="J5" s="62"/>
      <c r="K5" s="60" t="s">
        <v>461</v>
      </c>
      <c r="L5" s="62"/>
      <c r="M5" s="60" t="s">
        <v>462</v>
      </c>
      <c r="N5" s="62"/>
      <c r="O5" s="60" t="s">
        <v>525</v>
      </c>
      <c r="P5" s="62"/>
      <c r="Q5" s="63" t="s">
        <v>610</v>
      </c>
      <c r="AA5" t="s">
        <v>620</v>
      </c>
      <c r="AB5" t="s">
        <v>457</v>
      </c>
      <c r="AC5" t="s">
        <v>632</v>
      </c>
      <c r="AD5" s="3">
        <v>6</v>
      </c>
      <c r="AE5" s="3" t="s">
        <v>647</v>
      </c>
    </row>
    <row r="6" spans="2:32" ht="17" thickBot="1">
      <c r="AA6" t="s">
        <v>627</v>
      </c>
      <c r="AB6" t="s">
        <v>458</v>
      </c>
      <c r="AC6" t="s">
        <v>632</v>
      </c>
      <c r="AD6" s="3">
        <v>8</v>
      </c>
      <c r="AE6" s="3" t="s">
        <v>648</v>
      </c>
      <c r="AF6" s="34"/>
    </row>
    <row r="7" spans="2:32">
      <c r="B7" t="s">
        <v>404</v>
      </c>
      <c r="C7" s="54" t="s">
        <v>439</v>
      </c>
      <c r="D7" s="64"/>
      <c r="E7" s="54" t="s">
        <v>442</v>
      </c>
      <c r="F7" s="64"/>
      <c r="G7" s="54" t="s">
        <v>515</v>
      </c>
      <c r="H7" s="64"/>
      <c r="I7" s="47"/>
      <c r="J7" s="71"/>
      <c r="K7" s="71" t="s">
        <v>519</v>
      </c>
      <c r="L7" s="71"/>
      <c r="M7" s="72"/>
      <c r="N7" s="69" t="s">
        <v>602</v>
      </c>
      <c r="O7" s="70"/>
      <c r="P7" s="65" t="s">
        <v>524</v>
      </c>
      <c r="Q7" s="65" t="s">
        <v>609</v>
      </c>
      <c r="AA7" t="s">
        <v>621</v>
      </c>
      <c r="AB7" t="s">
        <v>461</v>
      </c>
      <c r="AC7" t="s">
        <v>632</v>
      </c>
      <c r="AD7" s="3">
        <v>10</v>
      </c>
      <c r="AE7" s="3" t="s">
        <v>649</v>
      </c>
    </row>
    <row r="8" spans="2:32" ht="17" thickBot="1">
      <c r="C8" s="57" t="s">
        <v>523</v>
      </c>
      <c r="D8" s="58" t="s">
        <v>522</v>
      </c>
      <c r="E8" s="57" t="s">
        <v>523</v>
      </c>
      <c r="F8" s="58" t="s">
        <v>522</v>
      </c>
      <c r="G8" s="57" t="s">
        <v>523</v>
      </c>
      <c r="H8" s="58" t="s">
        <v>522</v>
      </c>
      <c r="I8" s="53"/>
      <c r="J8" s="51"/>
      <c r="K8" s="51"/>
      <c r="L8" s="51"/>
      <c r="M8" s="52"/>
      <c r="N8" s="57" t="s">
        <v>521</v>
      </c>
      <c r="O8" s="58" t="s">
        <v>520</v>
      </c>
      <c r="P8" s="61" t="s">
        <v>522</v>
      </c>
      <c r="Q8" s="61" t="s">
        <v>523</v>
      </c>
      <c r="AA8" t="s">
        <v>622</v>
      </c>
      <c r="AB8" t="s">
        <v>462</v>
      </c>
      <c r="AC8" t="s">
        <v>632</v>
      </c>
      <c r="AD8" s="3">
        <v>12</v>
      </c>
      <c r="AE8" s="3" t="s">
        <v>650</v>
      </c>
    </row>
    <row r="9" spans="2:32">
      <c r="AA9" t="s">
        <v>623</v>
      </c>
      <c r="AB9" t="s">
        <v>439</v>
      </c>
      <c r="AC9" t="s">
        <v>632</v>
      </c>
      <c r="AD9" s="3">
        <v>1</v>
      </c>
      <c r="AE9" s="3" t="s">
        <v>651</v>
      </c>
    </row>
    <row r="10" spans="2:32">
      <c r="B10" t="s">
        <v>580</v>
      </c>
      <c r="AA10" t="s">
        <v>624</v>
      </c>
      <c r="AB10" t="s">
        <v>442</v>
      </c>
      <c r="AC10" t="s">
        <v>632</v>
      </c>
      <c r="AD10" s="3">
        <v>3</v>
      </c>
      <c r="AE10" s="3" t="s">
        <v>652</v>
      </c>
    </row>
    <row r="11" spans="2:32" ht="17" thickBot="1"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M11" s="3">
        <v>10</v>
      </c>
      <c r="N11" s="3">
        <v>11</v>
      </c>
      <c r="O11" s="3">
        <v>12</v>
      </c>
      <c r="P11" s="3">
        <v>13</v>
      </c>
      <c r="Q11" s="3">
        <v>14</v>
      </c>
      <c r="R11" s="3">
        <v>15</v>
      </c>
      <c r="S11" s="3">
        <v>16</v>
      </c>
      <c r="T11" s="3">
        <v>17</v>
      </c>
      <c r="U11" s="3">
        <v>18</v>
      </c>
      <c r="AA11" t="s">
        <v>626</v>
      </c>
      <c r="AB11" t="s">
        <v>515</v>
      </c>
      <c r="AC11" t="s">
        <v>633</v>
      </c>
      <c r="AD11" s="3">
        <v>5</v>
      </c>
      <c r="AE11" s="3" t="s">
        <v>653</v>
      </c>
    </row>
    <row r="12" spans="2:32">
      <c r="B12" t="s">
        <v>403</v>
      </c>
      <c r="C12" s="44" t="s">
        <v>520</v>
      </c>
      <c r="D12" s="45" t="s">
        <v>521</v>
      </c>
      <c r="E12" s="41"/>
      <c r="F12" s="43"/>
      <c r="G12" s="42"/>
      <c r="H12" s="44" t="s">
        <v>521</v>
      </c>
      <c r="I12" s="50" t="s">
        <v>521</v>
      </c>
      <c r="J12" s="50" t="s">
        <v>520</v>
      </c>
      <c r="K12" s="45" t="s">
        <v>520</v>
      </c>
      <c r="L12" s="3"/>
      <c r="M12" s="44" t="s">
        <v>520</v>
      </c>
      <c r="N12" s="50" t="s">
        <v>521</v>
      </c>
      <c r="O12" s="45" t="s">
        <v>519</v>
      </c>
      <c r="P12" s="44" t="s">
        <v>520</v>
      </c>
      <c r="Q12" s="50" t="s">
        <v>521</v>
      </c>
      <c r="R12" s="45" t="s">
        <v>519</v>
      </c>
      <c r="S12" s="44" t="s">
        <v>520</v>
      </c>
      <c r="T12" s="50" t="s">
        <v>521</v>
      </c>
      <c r="U12" s="45" t="s">
        <v>519</v>
      </c>
      <c r="AA12" t="s">
        <v>634</v>
      </c>
      <c r="AD12" s="3">
        <v>14</v>
      </c>
      <c r="AE12" s="3" t="s">
        <v>654</v>
      </c>
    </row>
    <row r="13" spans="2:32" ht="17" thickBot="1">
      <c r="C13" s="60" t="s">
        <v>508</v>
      </c>
      <c r="D13" s="52"/>
      <c r="E13" s="53"/>
      <c r="F13" s="51" t="s">
        <v>519</v>
      </c>
      <c r="G13" s="52"/>
      <c r="H13" s="53"/>
      <c r="I13" s="49"/>
      <c r="J13" s="51" t="s">
        <v>432</v>
      </c>
      <c r="K13" s="52"/>
      <c r="L13" s="3"/>
      <c r="M13" s="53"/>
      <c r="N13" s="51" t="s">
        <v>434</v>
      </c>
      <c r="O13" s="52"/>
      <c r="P13" s="53"/>
      <c r="Q13" s="51" t="s">
        <v>436</v>
      </c>
      <c r="R13" s="52"/>
      <c r="S13" s="53"/>
      <c r="T13" s="51" t="s">
        <v>437</v>
      </c>
      <c r="U13" s="52"/>
    </row>
    <row r="14" spans="2:32" ht="17" thickBot="1">
      <c r="AA14" t="s">
        <v>691</v>
      </c>
      <c r="AC14" s="3" t="s">
        <v>692</v>
      </c>
      <c r="AE14" s="3" t="s">
        <v>694</v>
      </c>
      <c r="AF14" s="3" t="s">
        <v>696</v>
      </c>
    </row>
    <row r="15" spans="2:32">
      <c r="B15" t="s">
        <v>404</v>
      </c>
      <c r="C15" s="54" t="s">
        <v>574</v>
      </c>
      <c r="D15" s="42"/>
      <c r="E15" s="54" t="s">
        <v>575</v>
      </c>
      <c r="F15" s="42"/>
      <c r="G15" s="54"/>
      <c r="H15" s="55" t="s">
        <v>445</v>
      </c>
      <c r="I15" s="48"/>
      <c r="J15" s="56"/>
      <c r="K15" s="42"/>
      <c r="L15" s="3"/>
      <c r="M15" s="54"/>
      <c r="N15" s="55" t="s">
        <v>446</v>
      </c>
      <c r="O15" s="48"/>
      <c r="P15" s="56"/>
      <c r="Q15" s="42"/>
      <c r="R15" s="55" t="s">
        <v>519</v>
      </c>
      <c r="S15" s="42"/>
      <c r="T15" s="54" t="s">
        <v>535</v>
      </c>
      <c r="U15" s="42"/>
      <c r="AC15" s="3" t="s">
        <v>693</v>
      </c>
      <c r="AE15" s="3" t="s">
        <v>695</v>
      </c>
    </row>
    <row r="16" spans="2:32" ht="17" thickBot="1">
      <c r="C16" s="57" t="s">
        <v>520</v>
      </c>
      <c r="D16" s="58" t="s">
        <v>521</v>
      </c>
      <c r="E16" s="57" t="s">
        <v>520</v>
      </c>
      <c r="F16" s="58" t="s">
        <v>521</v>
      </c>
      <c r="G16" s="57" t="s">
        <v>520</v>
      </c>
      <c r="H16" s="59" t="s">
        <v>521</v>
      </c>
      <c r="I16" s="59" t="s">
        <v>526</v>
      </c>
      <c r="J16" s="59" t="s">
        <v>527</v>
      </c>
      <c r="K16" s="58" t="s">
        <v>528</v>
      </c>
      <c r="L16" s="3"/>
      <c r="M16" s="57" t="s">
        <v>520</v>
      </c>
      <c r="N16" s="59" t="s">
        <v>521</v>
      </c>
      <c r="O16" s="59" t="s">
        <v>526</v>
      </c>
      <c r="P16" s="59" t="s">
        <v>527</v>
      </c>
      <c r="Q16" s="58" t="s">
        <v>528</v>
      </c>
      <c r="R16" s="59"/>
      <c r="S16" s="58"/>
      <c r="T16" s="57" t="s">
        <v>520</v>
      </c>
      <c r="U16" s="58" t="s">
        <v>521</v>
      </c>
    </row>
    <row r="18" spans="27:31">
      <c r="AA18" s="34" t="s">
        <v>611</v>
      </c>
    </row>
    <row r="19" spans="27:31">
      <c r="AA19" t="s">
        <v>529</v>
      </c>
      <c r="AB19" t="s">
        <v>574</v>
      </c>
      <c r="AC19" t="s">
        <v>635</v>
      </c>
      <c r="AD19" s="3">
        <v>5</v>
      </c>
      <c r="AE19" s="3" t="s">
        <v>655</v>
      </c>
    </row>
    <row r="21" spans="27:31">
      <c r="AA21" t="s">
        <v>573</v>
      </c>
      <c r="AB21" t="s">
        <v>575</v>
      </c>
      <c r="AC21" t="s">
        <v>636</v>
      </c>
      <c r="AD21" s="3">
        <v>7</v>
      </c>
      <c r="AE21" s="3" t="s">
        <v>656</v>
      </c>
    </row>
    <row r="22" spans="27:31">
      <c r="AC22" t="s">
        <v>637</v>
      </c>
      <c r="AD22" s="3">
        <v>9</v>
      </c>
      <c r="AE22" s="3" t="s">
        <v>657</v>
      </c>
    </row>
    <row r="24" spans="27:31">
      <c r="AA24" t="s">
        <v>616</v>
      </c>
      <c r="AB24" t="s">
        <v>534</v>
      </c>
      <c r="AC24" t="s">
        <v>612</v>
      </c>
      <c r="AD24" s="3">
        <v>11</v>
      </c>
      <c r="AE24" s="3" t="s">
        <v>658</v>
      </c>
    </row>
    <row r="25" spans="27:31">
      <c r="AC25" t="s">
        <v>615</v>
      </c>
      <c r="AD25" s="3">
        <v>13</v>
      </c>
      <c r="AE25" s="3" t="s">
        <v>659</v>
      </c>
    </row>
    <row r="26" spans="27:31">
      <c r="AC26" t="s">
        <v>613</v>
      </c>
      <c r="AD26" s="3">
        <v>19</v>
      </c>
      <c r="AE26" s="3" t="s">
        <v>662</v>
      </c>
    </row>
    <row r="27" spans="27:31">
      <c r="AC27" t="s">
        <v>614</v>
      </c>
      <c r="AD27" s="3">
        <v>21</v>
      </c>
      <c r="AE27" s="3" t="s">
        <v>663</v>
      </c>
    </row>
    <row r="29" spans="27:31">
      <c r="AA29" t="s">
        <v>617</v>
      </c>
      <c r="AB29" t="s">
        <v>446</v>
      </c>
      <c r="AC29" t="s">
        <v>612</v>
      </c>
      <c r="AD29" s="3">
        <v>15</v>
      </c>
      <c r="AE29" s="3" t="s">
        <v>660</v>
      </c>
    </row>
    <row r="30" spans="27:31">
      <c r="AC30" t="s">
        <v>615</v>
      </c>
      <c r="AD30" s="3">
        <v>17</v>
      </c>
      <c r="AE30" s="3" t="s">
        <v>661</v>
      </c>
    </row>
    <row r="31" spans="27:31">
      <c r="AC31" t="s">
        <v>613</v>
      </c>
      <c r="AD31" s="3">
        <v>23</v>
      </c>
      <c r="AE31" s="3" t="s">
        <v>664</v>
      </c>
    </row>
    <row r="32" spans="27:31">
      <c r="AC32" t="s">
        <v>614</v>
      </c>
      <c r="AD32" s="3">
        <v>25</v>
      </c>
      <c r="AE32" s="3" t="s">
        <v>665</v>
      </c>
    </row>
    <row r="34" spans="27:32">
      <c r="AA34" t="s">
        <v>625</v>
      </c>
      <c r="AB34" t="s">
        <v>508</v>
      </c>
      <c r="AC34" t="s">
        <v>638</v>
      </c>
      <c r="AD34" s="3">
        <v>6</v>
      </c>
      <c r="AE34" s="3" t="s">
        <v>666</v>
      </c>
    </row>
    <row r="36" spans="27:32">
      <c r="AA36" t="s">
        <v>530</v>
      </c>
      <c r="AB36" t="s">
        <v>432</v>
      </c>
      <c r="AC36" t="s">
        <v>641</v>
      </c>
      <c r="AD36" s="3">
        <v>8</v>
      </c>
      <c r="AE36" s="3" t="s">
        <v>667</v>
      </c>
    </row>
    <row r="37" spans="27:32">
      <c r="AC37" t="s">
        <v>642</v>
      </c>
      <c r="AD37" s="3">
        <v>10</v>
      </c>
      <c r="AE37" s="3" t="s">
        <v>668</v>
      </c>
    </row>
    <row r="38" spans="27:32">
      <c r="AC38" t="s">
        <v>643</v>
      </c>
      <c r="AD38" s="3">
        <v>12</v>
      </c>
      <c r="AE38" s="3" t="s">
        <v>669</v>
      </c>
    </row>
    <row r="39" spans="27:32">
      <c r="AC39" t="s">
        <v>639</v>
      </c>
      <c r="AD39" s="3">
        <v>14</v>
      </c>
      <c r="AE39" s="3" t="s">
        <v>670</v>
      </c>
    </row>
    <row r="40" spans="27:32">
      <c r="AC40" t="s">
        <v>644</v>
      </c>
      <c r="AD40" s="3">
        <v>16</v>
      </c>
      <c r="AE40" s="3" t="s">
        <v>671</v>
      </c>
    </row>
    <row r="42" spans="27:32">
      <c r="AA42" t="s">
        <v>640</v>
      </c>
      <c r="AC42" t="s">
        <v>642</v>
      </c>
      <c r="AD42" s="3">
        <v>18</v>
      </c>
      <c r="AE42" s="3" t="s">
        <v>675</v>
      </c>
    </row>
    <row r="43" spans="27:32">
      <c r="AA43" t="s">
        <v>640</v>
      </c>
      <c r="AC43" t="s">
        <v>641</v>
      </c>
      <c r="AD43" s="3">
        <v>20</v>
      </c>
      <c r="AE43" s="3" t="s">
        <v>676</v>
      </c>
    </row>
    <row r="44" spans="27:32">
      <c r="AA44" t="s">
        <v>531</v>
      </c>
      <c r="AB44" t="s">
        <v>434</v>
      </c>
      <c r="AC44" t="s">
        <v>639</v>
      </c>
      <c r="AD44" s="3">
        <v>22</v>
      </c>
      <c r="AE44" s="3" t="s">
        <v>672</v>
      </c>
    </row>
    <row r="45" spans="27:32">
      <c r="AA45" t="s">
        <v>533</v>
      </c>
      <c r="AB45" t="s">
        <v>436</v>
      </c>
      <c r="AC45" t="s">
        <v>639</v>
      </c>
      <c r="AD45" s="3">
        <v>24</v>
      </c>
      <c r="AE45" s="3" t="s">
        <v>673</v>
      </c>
    </row>
    <row r="46" spans="27:32">
      <c r="AA46" t="s">
        <v>532</v>
      </c>
      <c r="AB46" t="s">
        <v>437</v>
      </c>
      <c r="AC46" t="s">
        <v>639</v>
      </c>
      <c r="AD46" s="3">
        <v>26</v>
      </c>
      <c r="AE46" s="3" t="s">
        <v>674</v>
      </c>
    </row>
    <row r="48" spans="27:32">
      <c r="AA48" t="s">
        <v>691</v>
      </c>
      <c r="AC48" s="3" t="s">
        <v>692</v>
      </c>
      <c r="AE48" s="3" t="s">
        <v>694</v>
      </c>
      <c r="AF48" s="3" t="s">
        <v>696</v>
      </c>
    </row>
    <row r="49" spans="29:31">
      <c r="AC49" s="3" t="s">
        <v>693</v>
      </c>
      <c r="AE49" s="3" t="s">
        <v>695</v>
      </c>
    </row>
  </sheetData>
  <pageMargins left="0.7" right="0.7" top="0.75" bottom="0.75" header="0.3" footer="0.3"/>
  <pageSetup scale="57" orientation="landscape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81B2-800D-E543-823D-46745B9B817E}">
  <dimension ref="B2:K31"/>
  <sheetViews>
    <sheetView workbookViewId="0">
      <selection activeCell="K11" sqref="K11"/>
    </sheetView>
  </sheetViews>
  <sheetFormatPr baseColWidth="10" defaultRowHeight="16"/>
  <cols>
    <col min="2" max="2" width="18.83203125" customWidth="1"/>
    <col min="4" max="4" width="11.6640625" customWidth="1"/>
    <col min="7" max="8" width="10.83203125" style="3"/>
  </cols>
  <sheetData>
    <row r="2" spans="2:11">
      <c r="B2" t="s">
        <v>581</v>
      </c>
    </row>
    <row r="5" spans="2:11">
      <c r="D5" s="3" t="s">
        <v>585</v>
      </c>
      <c r="E5" s="3" t="s">
        <v>586</v>
      </c>
      <c r="F5" t="s">
        <v>592</v>
      </c>
      <c r="G5" s="3" t="s">
        <v>630</v>
      </c>
      <c r="H5" s="3" t="s">
        <v>677</v>
      </c>
      <c r="I5" s="3" t="s">
        <v>690</v>
      </c>
    </row>
    <row r="6" spans="2:11">
      <c r="B6" s="67" t="s">
        <v>420</v>
      </c>
      <c r="C6" s="40" t="s">
        <v>449</v>
      </c>
      <c r="D6" s="3" t="s">
        <v>587</v>
      </c>
      <c r="E6" s="3">
        <v>4</v>
      </c>
      <c r="F6" s="3">
        <v>4</v>
      </c>
      <c r="I6" t="s">
        <v>699</v>
      </c>
    </row>
    <row r="7" spans="2:11">
      <c r="G7" s="3" t="s">
        <v>684</v>
      </c>
      <c r="H7" s="3" t="s">
        <v>683</v>
      </c>
    </row>
    <row r="8" spans="2:11">
      <c r="B8" s="67" t="s">
        <v>473</v>
      </c>
      <c r="C8" s="40" t="s">
        <v>493</v>
      </c>
      <c r="D8" s="3" t="s">
        <v>587</v>
      </c>
      <c r="E8" s="3">
        <v>4</v>
      </c>
      <c r="F8" s="3">
        <v>4</v>
      </c>
      <c r="I8" t="s">
        <v>698</v>
      </c>
    </row>
    <row r="9" spans="2:11">
      <c r="G9" s="3" t="s">
        <v>697</v>
      </c>
      <c r="H9" s="3">
        <v>21</v>
      </c>
    </row>
    <row r="10" spans="2:11">
      <c r="G10" s="3" t="s">
        <v>678</v>
      </c>
      <c r="H10" s="3">
        <v>20</v>
      </c>
    </row>
    <row r="11" spans="2:11">
      <c r="B11" s="67" t="s">
        <v>421</v>
      </c>
      <c r="C11" s="40" t="s">
        <v>450</v>
      </c>
      <c r="D11" s="3" t="s">
        <v>588</v>
      </c>
      <c r="E11" s="3">
        <v>3</v>
      </c>
      <c r="F11" s="3">
        <v>3</v>
      </c>
    </row>
    <row r="12" spans="2:11">
      <c r="G12" s="3" t="s">
        <v>641</v>
      </c>
      <c r="H12" s="3" t="s">
        <v>667</v>
      </c>
      <c r="K12" s="3"/>
    </row>
    <row r="13" spans="2:11">
      <c r="G13" s="3" t="s">
        <v>642</v>
      </c>
      <c r="H13" s="3" t="s">
        <v>668</v>
      </c>
      <c r="K13" s="3"/>
    </row>
    <row r="14" spans="2:11">
      <c r="G14" s="3" t="s">
        <v>643</v>
      </c>
      <c r="H14" s="3" t="s">
        <v>669</v>
      </c>
      <c r="K14" s="3"/>
    </row>
    <row r="15" spans="2:11">
      <c r="G15" s="3" t="s">
        <v>639</v>
      </c>
      <c r="H15" s="3" t="s">
        <v>670</v>
      </c>
      <c r="K15" s="3"/>
    </row>
    <row r="16" spans="2:11">
      <c r="G16" s="3" t="s">
        <v>644</v>
      </c>
      <c r="H16" s="3" t="s">
        <v>671</v>
      </c>
      <c r="K16" s="3"/>
    </row>
    <row r="17" spans="2:8">
      <c r="B17" s="67" t="s">
        <v>469</v>
      </c>
      <c r="C17" s="40" t="s">
        <v>468</v>
      </c>
      <c r="D17" s="3" t="s">
        <v>589</v>
      </c>
      <c r="E17" s="3">
        <v>3</v>
      </c>
      <c r="F17" s="3">
        <v>3</v>
      </c>
      <c r="H17" s="3" t="s">
        <v>679</v>
      </c>
    </row>
    <row r="18" spans="2:8">
      <c r="B18" s="67" t="s">
        <v>467</v>
      </c>
      <c r="C18" s="40" t="s">
        <v>470</v>
      </c>
      <c r="D18" s="3" t="s">
        <v>589</v>
      </c>
      <c r="E18" s="3">
        <v>3</v>
      </c>
      <c r="F18" s="3">
        <v>3</v>
      </c>
      <c r="H18" s="3" t="s">
        <v>680</v>
      </c>
    </row>
    <row r="19" spans="2:8">
      <c r="B19" s="67" t="s">
        <v>471</v>
      </c>
      <c r="C19" s="40" t="s">
        <v>472</v>
      </c>
      <c r="D19" s="3" t="s">
        <v>589</v>
      </c>
      <c r="E19" s="3">
        <v>3</v>
      </c>
      <c r="F19" s="3">
        <v>3</v>
      </c>
      <c r="H19" s="3" t="s">
        <v>681</v>
      </c>
    </row>
    <row r="20" spans="2:8">
      <c r="B20" s="67" t="s">
        <v>597</v>
      </c>
      <c r="C20" s="40" t="s">
        <v>598</v>
      </c>
      <c r="D20" s="3" t="s">
        <v>594</v>
      </c>
      <c r="E20" s="3">
        <v>3</v>
      </c>
      <c r="F20" s="3">
        <v>3</v>
      </c>
      <c r="H20" s="3" t="s">
        <v>682</v>
      </c>
    </row>
    <row r="21" spans="2:8">
      <c r="B21" s="10" t="s">
        <v>583</v>
      </c>
      <c r="D21" s="3" t="s">
        <v>595</v>
      </c>
      <c r="E21" s="3">
        <v>2</v>
      </c>
      <c r="F21" s="3">
        <v>3</v>
      </c>
      <c r="H21" s="3" t="s">
        <v>660</v>
      </c>
    </row>
    <row r="22" spans="2:8">
      <c r="B22" s="10" t="s">
        <v>584</v>
      </c>
      <c r="D22" s="3" t="s">
        <v>596</v>
      </c>
      <c r="E22" s="3">
        <v>4</v>
      </c>
      <c r="F22" s="3">
        <v>4</v>
      </c>
      <c r="G22" s="3" t="s">
        <v>685</v>
      </c>
      <c r="H22" s="3" t="s">
        <v>659</v>
      </c>
    </row>
    <row r="23" spans="2:8">
      <c r="G23" s="3" t="s">
        <v>686</v>
      </c>
      <c r="H23" s="3" t="s">
        <v>658</v>
      </c>
    </row>
    <row r="24" spans="2:8">
      <c r="G24" s="3" t="s">
        <v>687</v>
      </c>
      <c r="H24" s="3" t="s">
        <v>657</v>
      </c>
    </row>
    <row r="25" spans="2:8">
      <c r="B25" s="10" t="s">
        <v>590</v>
      </c>
      <c r="D25" s="3" t="s">
        <v>591</v>
      </c>
      <c r="E25" s="3">
        <v>5</v>
      </c>
      <c r="F25" s="3">
        <v>5</v>
      </c>
    </row>
    <row r="26" spans="2:8">
      <c r="G26" s="3" t="s">
        <v>688</v>
      </c>
      <c r="H26" s="3" t="s">
        <v>665</v>
      </c>
    </row>
    <row r="27" spans="2:8">
      <c r="G27" s="3" t="s">
        <v>689</v>
      </c>
      <c r="H27" s="3" t="s">
        <v>664</v>
      </c>
    </row>
    <row r="28" spans="2:8">
      <c r="G28" s="3" t="s">
        <v>667</v>
      </c>
      <c r="H28" s="3" t="s">
        <v>663</v>
      </c>
    </row>
    <row r="29" spans="2:8">
      <c r="B29" s="10" t="s">
        <v>582</v>
      </c>
      <c r="D29" s="3" t="s">
        <v>535</v>
      </c>
      <c r="E29" s="3">
        <v>2</v>
      </c>
      <c r="F29" s="3">
        <v>3</v>
      </c>
    </row>
    <row r="30" spans="2:8">
      <c r="B30" s="10" t="s">
        <v>593</v>
      </c>
      <c r="D30" s="3" t="s">
        <v>535</v>
      </c>
      <c r="E30" s="3">
        <v>2</v>
      </c>
      <c r="F30" s="3">
        <v>3</v>
      </c>
    </row>
    <row r="31" spans="2:8">
      <c r="D31" s="3" t="s">
        <v>344</v>
      </c>
      <c r="E31" s="3">
        <f>SUM(E6:E30)</f>
        <v>38</v>
      </c>
      <c r="F31" s="3"/>
    </row>
  </sheetData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0ED8-79C6-3E4B-9C1C-705B81C0F61B}">
  <dimension ref="B8:E24"/>
  <sheetViews>
    <sheetView workbookViewId="0">
      <selection activeCell="E28" sqref="E28"/>
    </sheetView>
  </sheetViews>
  <sheetFormatPr baseColWidth="10" defaultRowHeight="16"/>
  <sheetData>
    <row r="8" spans="2:4">
      <c r="B8" t="s">
        <v>385</v>
      </c>
      <c r="C8">
        <v>200</v>
      </c>
      <c r="D8" t="s">
        <v>380</v>
      </c>
    </row>
    <row r="9" spans="2:4">
      <c r="B9" t="s">
        <v>386</v>
      </c>
      <c r="C9">
        <v>2.5</v>
      </c>
      <c r="D9" t="s">
        <v>381</v>
      </c>
    </row>
    <row r="10" spans="2:4">
      <c r="B10" t="s">
        <v>388</v>
      </c>
      <c r="C10">
        <v>0.55000000000000004</v>
      </c>
      <c r="D10" t="s">
        <v>383</v>
      </c>
    </row>
    <row r="11" spans="2:4">
      <c r="B11" t="s">
        <v>2</v>
      </c>
      <c r="C11">
        <v>400</v>
      </c>
      <c r="D11" t="s">
        <v>383</v>
      </c>
    </row>
    <row r="13" spans="2:4">
      <c r="B13" t="s">
        <v>387</v>
      </c>
      <c r="C13" s="2">
        <f>C8/C9</f>
        <v>80</v>
      </c>
      <c r="D13" t="s">
        <v>382</v>
      </c>
    </row>
    <row r="14" spans="2:4">
      <c r="B14" t="s">
        <v>389</v>
      </c>
      <c r="C14" s="22">
        <f>PI()*C10^2</f>
        <v>0.9503317777109126</v>
      </c>
      <c r="D14" t="s">
        <v>384</v>
      </c>
    </row>
    <row r="15" spans="2:4">
      <c r="B15" t="s">
        <v>390</v>
      </c>
      <c r="C15" s="29">
        <f>(C13*1000/C14)/60</f>
        <v>1403.018782077314</v>
      </c>
      <c r="D15" t="s">
        <v>391</v>
      </c>
    </row>
    <row r="16" spans="2:4">
      <c r="B16" t="s">
        <v>392</v>
      </c>
      <c r="C16" s="1">
        <f>C11/C15</f>
        <v>0.28509953331327381</v>
      </c>
      <c r="D16" t="s">
        <v>364</v>
      </c>
    </row>
    <row r="17" spans="2:5">
      <c r="B17" t="s">
        <v>393</v>
      </c>
      <c r="C17" s="29">
        <f>2*PI()*C10*C11</f>
        <v>1382.3007675795091</v>
      </c>
      <c r="D17" t="s">
        <v>384</v>
      </c>
    </row>
    <row r="19" spans="2:5">
      <c r="B19" t="s">
        <v>397</v>
      </c>
      <c r="C19">
        <f>C9*1.1644</f>
        <v>2.9110000000000005</v>
      </c>
      <c r="D19" t="s">
        <v>4</v>
      </c>
    </row>
    <row r="20" spans="2:5">
      <c r="B20" t="s">
        <v>396</v>
      </c>
      <c r="C20" s="32">
        <v>1.9830000000000002E-5</v>
      </c>
      <c r="D20" t="s">
        <v>399</v>
      </c>
      <c r="E20" s="32"/>
    </row>
    <row r="21" spans="2:5">
      <c r="B21" t="s">
        <v>394</v>
      </c>
      <c r="C21" s="31">
        <f>C20/C19</f>
        <v>6.8120920645826168E-6</v>
      </c>
      <c r="D21" t="s">
        <v>400</v>
      </c>
      <c r="E21" t="s">
        <v>401</v>
      </c>
    </row>
    <row r="22" spans="2:5">
      <c r="B22" t="s">
        <v>356</v>
      </c>
      <c r="C22">
        <f>C10/100</f>
        <v>5.5000000000000005E-3</v>
      </c>
      <c r="D22" t="s">
        <v>398</v>
      </c>
    </row>
    <row r="23" spans="2:5">
      <c r="B23" t="s">
        <v>395</v>
      </c>
      <c r="C23" s="33">
        <f>(C10/100) * (C15/100) * C21</f>
        <v>5.2566212115170818E-7</v>
      </c>
    </row>
    <row r="24" spans="2:5">
      <c r="C24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D16"/>
  <sheetViews>
    <sheetView workbookViewId="0">
      <selection activeCell="D12" sqref="D12"/>
    </sheetView>
  </sheetViews>
  <sheetFormatPr baseColWidth="10" defaultRowHeight="16"/>
  <sheetData>
    <row r="5" spans="3:4">
      <c r="C5" t="s">
        <v>233</v>
      </c>
    </row>
    <row r="6" spans="3:4">
      <c r="C6" t="s">
        <v>234</v>
      </c>
    </row>
    <row r="7" spans="3:4">
      <c r="C7" t="s">
        <v>235</v>
      </c>
    </row>
    <row r="11" spans="3:4">
      <c r="C11">
        <v>28.317</v>
      </c>
    </row>
    <row r="12" spans="3:4">
      <c r="C12" t="s">
        <v>237</v>
      </c>
      <c r="D12">
        <v>20</v>
      </c>
    </row>
    <row r="13" spans="3:4">
      <c r="C13" t="s">
        <v>236</v>
      </c>
      <c r="D13">
        <f>D12/C11</f>
        <v>0.70628950806935764</v>
      </c>
    </row>
    <row r="15" spans="3:4">
      <c r="C15" t="s">
        <v>238</v>
      </c>
      <c r="D15">
        <v>200</v>
      </c>
    </row>
    <row r="16" spans="3:4">
      <c r="C16" t="s">
        <v>239</v>
      </c>
      <c r="D16">
        <f>D13*D15/3</f>
        <v>47.085967204623842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4"/>
  <sheetViews>
    <sheetView topLeftCell="A3" workbookViewId="0">
      <selection activeCell="I20" sqref="I20"/>
    </sheetView>
  </sheetViews>
  <sheetFormatPr baseColWidth="10" defaultRowHeight="16"/>
  <cols>
    <col min="2" max="2" width="10.83203125" style="3"/>
    <col min="3" max="3" width="12.6640625" style="3" customWidth="1"/>
    <col min="4" max="5" width="11.6640625" style="3" customWidth="1"/>
  </cols>
  <sheetData>
    <row r="2" spans="1:13">
      <c r="B2" s="4" t="s">
        <v>24</v>
      </c>
    </row>
    <row r="3" spans="1:13" s="7" customFormat="1" ht="51">
      <c r="B3" s="6" t="s">
        <v>10</v>
      </c>
      <c r="C3" s="6" t="s">
        <v>29</v>
      </c>
      <c r="D3" s="6" t="s">
        <v>30</v>
      </c>
      <c r="E3" s="6" t="s">
        <v>30</v>
      </c>
      <c r="F3" s="6" t="s">
        <v>32</v>
      </c>
      <c r="G3" s="7" t="s">
        <v>25</v>
      </c>
      <c r="H3" s="7" t="s">
        <v>28</v>
      </c>
      <c r="I3" s="7" t="s">
        <v>294</v>
      </c>
      <c r="K3" s="6" t="s">
        <v>26</v>
      </c>
      <c r="L3" s="7" t="s">
        <v>31</v>
      </c>
      <c r="M3" s="6" t="s">
        <v>27</v>
      </c>
    </row>
    <row r="4" spans="1:13">
      <c r="B4" s="3" t="s">
        <v>15</v>
      </c>
      <c r="C4" s="3">
        <v>0.6</v>
      </c>
      <c r="D4" s="3">
        <v>0.6</v>
      </c>
      <c r="E4" s="3">
        <v>0.6</v>
      </c>
      <c r="F4" s="3">
        <v>0.23</v>
      </c>
      <c r="G4" s="3">
        <v>0.1</v>
      </c>
      <c r="H4" s="3">
        <v>0.2</v>
      </c>
      <c r="I4" s="3">
        <v>0.6</v>
      </c>
      <c r="K4" s="3">
        <v>0.18</v>
      </c>
      <c r="L4" s="3">
        <v>0.25</v>
      </c>
      <c r="M4" s="3">
        <v>0.1</v>
      </c>
    </row>
    <row r="5" spans="1:13">
      <c r="A5" s="3" t="s">
        <v>23</v>
      </c>
      <c r="B5" s="3" t="s">
        <v>11</v>
      </c>
      <c r="C5" s="3">
        <v>1</v>
      </c>
      <c r="D5" s="3">
        <v>1</v>
      </c>
      <c r="E5" s="3">
        <v>1</v>
      </c>
      <c r="F5" s="3">
        <v>1.1000000000000001</v>
      </c>
      <c r="G5" s="3">
        <v>1.1000000000000001</v>
      </c>
      <c r="H5" s="3">
        <v>1.1000000000000001</v>
      </c>
      <c r="I5" s="3">
        <v>1.1000000000000001</v>
      </c>
      <c r="K5" s="3">
        <v>1</v>
      </c>
      <c r="L5" s="3">
        <v>1</v>
      </c>
      <c r="M5" s="3">
        <v>1</v>
      </c>
    </row>
    <row r="6" spans="1:13">
      <c r="A6" s="3" t="s">
        <v>22</v>
      </c>
      <c r="B6" s="3" t="s">
        <v>12</v>
      </c>
      <c r="C6" s="3">
        <v>70</v>
      </c>
      <c r="D6" s="3">
        <v>70</v>
      </c>
      <c r="E6" s="3">
        <v>70</v>
      </c>
      <c r="F6" s="3">
        <v>70</v>
      </c>
      <c r="G6" s="3">
        <v>70</v>
      </c>
      <c r="H6" s="3">
        <v>70</v>
      </c>
      <c r="I6" s="3">
        <v>70</v>
      </c>
      <c r="K6" s="3">
        <v>70</v>
      </c>
      <c r="L6" s="3">
        <v>70</v>
      </c>
      <c r="M6" s="3">
        <v>70</v>
      </c>
    </row>
    <row r="7" spans="1:13">
      <c r="A7" s="3" t="s">
        <v>19</v>
      </c>
      <c r="B7" s="3" t="s">
        <v>13</v>
      </c>
      <c r="C7" s="3">
        <v>25</v>
      </c>
      <c r="D7" s="3">
        <v>25</v>
      </c>
      <c r="E7" s="3">
        <v>1</v>
      </c>
      <c r="F7" s="3">
        <v>28</v>
      </c>
      <c r="G7" s="3">
        <v>27</v>
      </c>
      <c r="H7" s="3">
        <v>28</v>
      </c>
      <c r="I7" s="3">
        <v>60</v>
      </c>
      <c r="K7" s="3">
        <v>28</v>
      </c>
      <c r="L7" s="3">
        <v>18</v>
      </c>
      <c r="M7" s="3">
        <v>100</v>
      </c>
    </row>
    <row r="8" spans="1:13">
      <c r="A8" s="3" t="s">
        <v>19</v>
      </c>
      <c r="B8" s="3" t="s">
        <v>14</v>
      </c>
      <c r="C8" s="3">
        <v>23</v>
      </c>
      <c r="D8" s="3">
        <v>2</v>
      </c>
      <c r="E8" s="3">
        <v>0</v>
      </c>
      <c r="F8" s="3">
        <v>27.7</v>
      </c>
      <c r="G8" s="3">
        <v>9</v>
      </c>
      <c r="H8" s="3">
        <v>27</v>
      </c>
      <c r="I8" s="3">
        <v>5</v>
      </c>
      <c r="K8" s="3">
        <v>0</v>
      </c>
      <c r="L8" s="3">
        <v>0</v>
      </c>
      <c r="M8" s="3">
        <v>28</v>
      </c>
    </row>
    <row r="9" spans="1:13">
      <c r="A9" s="3"/>
      <c r="F9" s="3"/>
      <c r="G9" s="3"/>
      <c r="H9" s="3"/>
      <c r="I9" s="3"/>
      <c r="K9" s="3"/>
      <c r="L9" s="3"/>
      <c r="M9" s="3"/>
    </row>
    <row r="10" spans="1:13">
      <c r="A10" s="3" t="s">
        <v>16</v>
      </c>
      <c r="B10" s="3" t="s">
        <v>21</v>
      </c>
      <c r="C10" s="5">
        <f t="shared" ref="C10" si="0">962*C4*SQRT(((C7+14.7)^2-(C8+14.7)^2)/(C5*(C6+460)))</f>
        <v>311.94200970511793</v>
      </c>
      <c r="D10" s="5">
        <f>962*D4*SQRT(((D7+14.7)^2-(D8+14.7)^2)/(D5*(D6+460)))</f>
        <v>903.00854009626744</v>
      </c>
      <c r="E10" s="5">
        <f>962*E4*SQRT(((E7+14.7)^2-(E8+14.7)^2)/(E5*(E6+460)))</f>
        <v>138.23727984745159</v>
      </c>
      <c r="F10" s="5">
        <f>962*F4*SQRT(((F7+14.7)^2-(F8+14.7)^2)/(F5*(F6+460)))</f>
        <v>46.301390963920753</v>
      </c>
      <c r="G10" s="5">
        <f>962*G4*SQRT(((G7+14.7)^2-(G8+14.7)^2)/(G5*(G6+460)))</f>
        <v>136.69918375937834</v>
      </c>
      <c r="H10" s="5">
        <f t="shared" ref="H10:I10" si="1">962*H4*SQRT(((H7+14.7)^2-(H8+14.7)^2)/(H5*(H6+460)))</f>
        <v>73.205213847627235</v>
      </c>
      <c r="I10" s="5">
        <f t="shared" si="1"/>
        <v>1722.5006201494077</v>
      </c>
      <c r="K10" s="5">
        <f>962*K4*SQRT(((K7+14.7)^2-(K8+14.7)^2)/(K5*(K6+460)))</f>
        <v>301.53977345316935</v>
      </c>
      <c r="L10" s="5">
        <f>962*L4*SQRT(((L7+14.7)^2-(L8+14.7)^2)/(L5*(L6+460)))</f>
        <v>305.14240813968001</v>
      </c>
      <c r="M10" s="5">
        <f t="shared" ref="M10" si="2">962*M4*SQRT(((M7+14.7)^2-(M8+14.7)^2)/(M5*(M6+460)))</f>
        <v>444.84196394963237</v>
      </c>
    </row>
    <row r="11" spans="1:13">
      <c r="A11" s="3" t="s">
        <v>16</v>
      </c>
      <c r="B11" s="3" t="s">
        <v>17</v>
      </c>
      <c r="C11" s="5">
        <f t="shared" ref="C11" si="3">C4*(816*(C7+14.7)/SQRT(C5*(C6+460)))</f>
        <v>844.29454072549117</v>
      </c>
      <c r="D11" s="5">
        <f>D4*(816*(D7+14.7)/SQRT(D5*(D6+460)))</f>
        <v>844.29454072549117</v>
      </c>
      <c r="E11" s="5">
        <f>E4*(816*(E7+14.7)/SQRT(E5*(E6+460)))</f>
        <v>333.88978058917405</v>
      </c>
      <c r="F11" s="5">
        <f>F4*(816*(F7+14.7)/SQRT(F5*(F6+460)))</f>
        <v>331.90331677245371</v>
      </c>
      <c r="G11" s="5">
        <f>G4*(816*(G7+14.7)/SQRT(G5*(G6+460)))</f>
        <v>140.92626320549149</v>
      </c>
      <c r="H11" s="5">
        <f t="shared" ref="H11:I11" si="4">H4*(816*(H7+14.7)/SQRT(H5*(H6+460)))</f>
        <v>288.61157980213369</v>
      </c>
      <c r="I11" s="5">
        <f t="shared" si="4"/>
        <v>1514.7038649568651</v>
      </c>
      <c r="K11" s="5">
        <f>K4*(816*(K7+14.7)/SQRT(K5*(K6+460)))</f>
        <v>272.42854072275924</v>
      </c>
      <c r="L11" s="5">
        <f>L4*(816*(L7+14.7)/SQRT(L5*(L6+460)))</f>
        <v>289.76103570238831</v>
      </c>
      <c r="M11" s="5">
        <f t="shared" ref="M11" si="5">M4*(816*(M7+14.7)/SQRT(M5*(M6+460)))</f>
        <v>406.55156935858031</v>
      </c>
    </row>
    <row r="12" spans="1:13">
      <c r="A12" s="3"/>
      <c r="F12" s="3"/>
      <c r="G12" s="3"/>
      <c r="H12" s="3"/>
      <c r="I12" s="3"/>
      <c r="K12" s="3"/>
      <c r="L12" s="3"/>
      <c r="M12" s="3"/>
    </row>
    <row r="13" spans="1:13">
      <c r="A13" s="3" t="s">
        <v>18</v>
      </c>
      <c r="B13" s="3" t="s">
        <v>20</v>
      </c>
      <c r="C13" s="5">
        <f t="shared" ref="C13" si="6">MIN(C10*28.3168/60, C11*28.3168/60)</f>
        <v>147.2199916736314</v>
      </c>
      <c r="D13" s="5">
        <f>MIN(D10*28.3168/60, D11*28.3168/60)</f>
        <v>398.46199418025986</v>
      </c>
      <c r="E13" s="5">
        <f>MIN(E10*28.3168/60, E11*28.3168/60)</f>
        <v>65.240623433071946</v>
      </c>
      <c r="F13" s="5">
        <f>MIN(F10*28.3168/60, F11*28.3168/60)</f>
        <v>21.851787127452518</v>
      </c>
      <c r="G13" s="5">
        <f>MIN(G10*28.3168/60, G11*28.3168/60)</f>
        <v>64.51472411129275</v>
      </c>
      <c r="H13" s="5">
        <f t="shared" ref="H13:I13" si="7">MIN(H10*28.3168/60, H11*28.3168/60)</f>
        <v>34.54895665800818</v>
      </c>
      <c r="I13" s="5">
        <f t="shared" si="7"/>
        <v>714.85944005350927</v>
      </c>
      <c r="K13" s="5">
        <f>MIN(K10*28.3168/60, K11*28.3168/60)</f>
        <v>128.57174169897047</v>
      </c>
      <c r="L13" s="5">
        <f>MIN(L10*28.3168/60, L11*28.3168/60)</f>
        <v>136.75175492962316</v>
      </c>
      <c r="M13" s="5">
        <f t="shared" ref="M13" si="8">MIN(M10*28.3168/60, M11*28.3168/60)</f>
        <v>191.87065798688411</v>
      </c>
    </row>
    <row r="14" spans="1:13">
      <c r="A14" s="19" t="s">
        <v>295</v>
      </c>
      <c r="B14" s="3" t="s">
        <v>20</v>
      </c>
      <c r="C14" s="5">
        <f>MIN(C10/60, C11/60)</f>
        <v>5.199033495085299</v>
      </c>
      <c r="D14" s="5">
        <f>MIN(D10/60, D11/60)</f>
        <v>14.071575678758187</v>
      </c>
      <c r="E14" s="5">
        <f t="shared" ref="E14:M14" si="9">MIN(E10/60, E11/60)</f>
        <v>2.303954664124193</v>
      </c>
      <c r="F14" s="5">
        <f t="shared" si="9"/>
        <v>0.77168984939867924</v>
      </c>
      <c r="G14" s="5">
        <f t="shared" si="9"/>
        <v>2.2783197293229724</v>
      </c>
      <c r="H14" s="5">
        <f t="shared" si="9"/>
        <v>1.220086897460454</v>
      </c>
      <c r="I14" s="5">
        <f t="shared" si="9"/>
        <v>25.245064415947752</v>
      </c>
      <c r="K14" s="5">
        <f t="shared" si="9"/>
        <v>4.5404756787126539</v>
      </c>
      <c r="L14" s="5">
        <f t="shared" si="9"/>
        <v>4.8293505950398048</v>
      </c>
      <c r="M14" s="5">
        <f t="shared" si="9"/>
        <v>6.7758594893096715</v>
      </c>
    </row>
  </sheetData>
  <hyperlinks>
    <hyperlink ref="B2" r:id="rId1" xr:uid="{00000000-0004-0000-02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C11"/>
  <sheetViews>
    <sheetView workbookViewId="0">
      <selection activeCell="C20" sqref="C20"/>
    </sheetView>
  </sheetViews>
  <sheetFormatPr baseColWidth="10" defaultRowHeight="16"/>
  <sheetData>
    <row r="6" spans="2:3">
      <c r="B6" t="s">
        <v>352</v>
      </c>
    </row>
    <row r="7" spans="2:3">
      <c r="B7" t="s">
        <v>351</v>
      </c>
    </row>
    <row r="8" spans="2:3">
      <c r="B8" t="s">
        <v>353</v>
      </c>
    </row>
    <row r="9" spans="2:3">
      <c r="B9" t="s">
        <v>354</v>
      </c>
    </row>
    <row r="11" spans="2:3">
      <c r="B11" t="s">
        <v>355</v>
      </c>
      <c r="C11" t="s">
        <v>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22"/>
  <sheetViews>
    <sheetView workbookViewId="0">
      <selection activeCell="J20" sqref="J20"/>
    </sheetView>
  </sheetViews>
  <sheetFormatPr baseColWidth="10" defaultRowHeight="16"/>
  <cols>
    <col min="1" max="1" width="3" customWidth="1"/>
    <col min="2" max="2" width="13" style="17" customWidth="1"/>
    <col min="3" max="3" width="13.83203125" style="18" customWidth="1"/>
    <col min="4" max="4" width="5.6640625" style="17" customWidth="1"/>
    <col min="5" max="6" width="6" style="17" customWidth="1"/>
    <col min="7" max="7" width="4.5" style="17" customWidth="1"/>
    <col min="8" max="8" width="48.5" style="12" customWidth="1"/>
    <col min="9" max="9" width="12" customWidth="1"/>
  </cols>
  <sheetData>
    <row r="2" spans="2:9" ht="17">
      <c r="B2" s="13" t="s">
        <v>240</v>
      </c>
      <c r="C2" s="14" t="s">
        <v>241</v>
      </c>
      <c r="D2" s="13" t="s">
        <v>242</v>
      </c>
      <c r="E2" s="13" t="s">
        <v>243</v>
      </c>
      <c r="F2" s="13" t="s">
        <v>244</v>
      </c>
      <c r="G2" s="13" t="s">
        <v>258</v>
      </c>
      <c r="H2" s="14" t="s">
        <v>282</v>
      </c>
      <c r="I2" s="8" t="s">
        <v>251</v>
      </c>
    </row>
    <row r="4" spans="2:9" s="10" customFormat="1" ht="54" customHeight="1">
      <c r="B4" s="15">
        <v>1974</v>
      </c>
      <c r="C4" s="16" t="s">
        <v>263</v>
      </c>
      <c r="D4" s="15"/>
      <c r="E4" s="15" t="s">
        <v>246</v>
      </c>
      <c r="F4" s="15" t="s">
        <v>246</v>
      </c>
      <c r="G4" s="15">
        <v>1</v>
      </c>
      <c r="H4" s="11" t="s">
        <v>275</v>
      </c>
      <c r="I4" s="9"/>
    </row>
    <row r="5" spans="2:9" s="10" customFormat="1" ht="51">
      <c r="B5" s="15">
        <v>1975</v>
      </c>
      <c r="C5" s="16" t="s">
        <v>264</v>
      </c>
      <c r="D5" s="15" t="s">
        <v>246</v>
      </c>
      <c r="E5" s="15" t="s">
        <v>246</v>
      </c>
      <c r="F5" s="15" t="s">
        <v>246</v>
      </c>
      <c r="G5" s="15">
        <v>1</v>
      </c>
      <c r="H5" s="11" t="s">
        <v>280</v>
      </c>
      <c r="I5" s="9"/>
    </row>
    <row r="6" spans="2:9" ht="34">
      <c r="B6" s="17" t="s">
        <v>276</v>
      </c>
      <c r="C6" s="18" t="s">
        <v>245</v>
      </c>
      <c r="E6" s="17" t="s">
        <v>246</v>
      </c>
      <c r="F6" s="17" t="s">
        <v>246</v>
      </c>
      <c r="G6" s="17">
        <v>2</v>
      </c>
      <c r="H6" s="12" t="s">
        <v>269</v>
      </c>
    </row>
    <row r="7" spans="2:9" ht="34">
      <c r="B7" s="17">
        <v>1981</v>
      </c>
      <c r="C7" s="18" t="s">
        <v>250</v>
      </c>
      <c r="F7" s="17" t="s">
        <v>246</v>
      </c>
      <c r="G7" s="17">
        <v>1</v>
      </c>
      <c r="H7" s="12" t="s">
        <v>270</v>
      </c>
    </row>
    <row r="8" spans="2:9" ht="51">
      <c r="B8" s="17">
        <v>1982</v>
      </c>
      <c r="C8" s="18" t="s">
        <v>249</v>
      </c>
      <c r="E8" s="17" t="s">
        <v>246</v>
      </c>
      <c r="F8" s="17" t="s">
        <v>246</v>
      </c>
      <c r="G8" s="17">
        <v>1</v>
      </c>
      <c r="H8" s="12" t="s">
        <v>277</v>
      </c>
    </row>
    <row r="9" spans="2:9" ht="17">
      <c r="B9" s="17">
        <v>1983</v>
      </c>
      <c r="C9" s="18" t="s">
        <v>247</v>
      </c>
      <c r="E9" s="17" t="s">
        <v>246</v>
      </c>
      <c r="F9" s="17" t="s">
        <v>246</v>
      </c>
      <c r="G9" s="17">
        <v>1</v>
      </c>
      <c r="H9" s="11" t="s">
        <v>278</v>
      </c>
    </row>
    <row r="10" spans="2:9" ht="51">
      <c r="B10" s="17">
        <v>1983</v>
      </c>
      <c r="C10" s="18" t="s">
        <v>248</v>
      </c>
      <c r="D10" s="17" t="s">
        <v>246</v>
      </c>
      <c r="E10" s="17" t="s">
        <v>246</v>
      </c>
      <c r="F10" s="17" t="s">
        <v>246</v>
      </c>
      <c r="G10" s="17">
        <v>1</v>
      </c>
      <c r="H10" s="12" t="s">
        <v>265</v>
      </c>
    </row>
    <row r="11" spans="2:9" ht="51">
      <c r="B11" s="17">
        <v>1986</v>
      </c>
      <c r="C11" s="18" t="s">
        <v>279</v>
      </c>
      <c r="D11" s="17" t="s">
        <v>246</v>
      </c>
      <c r="E11" s="17" t="s">
        <v>246</v>
      </c>
      <c r="F11" s="17" t="s">
        <v>246</v>
      </c>
      <c r="G11" s="17">
        <v>1</v>
      </c>
      <c r="H11" s="12" t="s">
        <v>281</v>
      </c>
    </row>
    <row r="12" spans="2:9" ht="34">
      <c r="B12" s="17">
        <v>1989</v>
      </c>
      <c r="C12" s="18" t="s">
        <v>262</v>
      </c>
      <c r="E12" s="17" t="s">
        <v>246</v>
      </c>
      <c r="G12" s="17">
        <v>1</v>
      </c>
      <c r="H12" s="12" t="s">
        <v>266</v>
      </c>
    </row>
    <row r="13" spans="2:9" ht="34">
      <c r="B13" s="17" t="s">
        <v>261</v>
      </c>
      <c r="C13" s="18" t="s">
        <v>252</v>
      </c>
      <c r="E13" s="17" t="s">
        <v>246</v>
      </c>
      <c r="F13" s="17" t="s">
        <v>246</v>
      </c>
      <c r="G13" s="17">
        <v>5</v>
      </c>
      <c r="H13" s="12" t="s">
        <v>267</v>
      </c>
    </row>
    <row r="14" spans="2:9" ht="17">
      <c r="B14" s="17">
        <v>1999</v>
      </c>
      <c r="C14" s="18" t="s">
        <v>257</v>
      </c>
      <c r="E14" s="17" t="s">
        <v>246</v>
      </c>
      <c r="F14" s="17" t="s">
        <v>246</v>
      </c>
      <c r="G14" s="17">
        <v>1</v>
      </c>
      <c r="H14" s="12" t="s">
        <v>268</v>
      </c>
    </row>
    <row r="15" spans="2:9" ht="51">
      <c r="B15" s="17" t="s">
        <v>288</v>
      </c>
      <c r="C15" s="18" t="s">
        <v>284</v>
      </c>
      <c r="D15" s="17" t="s">
        <v>246</v>
      </c>
      <c r="E15" s="17" t="s">
        <v>246</v>
      </c>
      <c r="F15" s="17" t="s">
        <v>246</v>
      </c>
      <c r="G15" s="17">
        <v>2</v>
      </c>
      <c r="H15" s="12" t="s">
        <v>285</v>
      </c>
    </row>
    <row r="16" spans="2:9" ht="68">
      <c r="B16" s="17">
        <v>2001</v>
      </c>
      <c r="C16" s="18" t="s">
        <v>286</v>
      </c>
      <c r="E16" s="17" t="s">
        <v>246</v>
      </c>
      <c r="F16" s="17" t="s">
        <v>246</v>
      </c>
      <c r="G16" s="17">
        <v>1</v>
      </c>
      <c r="H16" s="12" t="s">
        <v>287</v>
      </c>
    </row>
    <row r="17" spans="2:8" ht="34">
      <c r="B17" s="17">
        <v>2003</v>
      </c>
      <c r="C17" s="18" t="s">
        <v>256</v>
      </c>
      <c r="D17" s="17" t="s">
        <v>246</v>
      </c>
      <c r="E17" s="17" t="s">
        <v>246</v>
      </c>
      <c r="F17" s="17" t="s">
        <v>246</v>
      </c>
      <c r="G17" s="17">
        <v>1</v>
      </c>
      <c r="H17" s="12" t="s">
        <v>283</v>
      </c>
    </row>
    <row r="18" spans="2:8" ht="51">
      <c r="B18" s="17">
        <v>2005</v>
      </c>
      <c r="C18" s="18" t="s">
        <v>289</v>
      </c>
      <c r="E18" s="17" t="s">
        <v>246</v>
      </c>
      <c r="F18" s="17" t="s">
        <v>246</v>
      </c>
      <c r="G18" s="17">
        <v>1</v>
      </c>
      <c r="H18" s="12" t="s">
        <v>290</v>
      </c>
    </row>
    <row r="19" spans="2:8" ht="51">
      <c r="B19" s="17" t="s">
        <v>260</v>
      </c>
      <c r="C19" s="18" t="s">
        <v>253</v>
      </c>
      <c r="E19" s="17" t="s">
        <v>246</v>
      </c>
      <c r="F19" s="17" t="s">
        <v>246</v>
      </c>
      <c r="G19" s="17">
        <v>5</v>
      </c>
      <c r="H19" s="12" t="s">
        <v>271</v>
      </c>
    </row>
    <row r="20" spans="2:8" ht="51">
      <c r="B20" s="17">
        <v>2010</v>
      </c>
      <c r="C20" s="18" t="s">
        <v>254</v>
      </c>
      <c r="D20" s="17" t="s">
        <v>246</v>
      </c>
      <c r="E20" s="17" t="s">
        <v>246</v>
      </c>
      <c r="F20" s="17" t="s">
        <v>246</v>
      </c>
      <c r="G20" s="17">
        <v>1</v>
      </c>
      <c r="H20" s="12" t="s">
        <v>272</v>
      </c>
    </row>
    <row r="21" spans="2:8" ht="34">
      <c r="B21" s="17">
        <v>2018</v>
      </c>
      <c r="C21" s="18" t="s">
        <v>255</v>
      </c>
      <c r="E21" s="17" t="s">
        <v>246</v>
      </c>
      <c r="F21" s="17" t="s">
        <v>246</v>
      </c>
      <c r="G21" s="17">
        <v>3</v>
      </c>
      <c r="H21" s="12" t="s">
        <v>273</v>
      </c>
    </row>
    <row r="22" spans="2:8" ht="34">
      <c r="B22" s="17">
        <v>2020</v>
      </c>
      <c r="C22" s="18" t="s">
        <v>259</v>
      </c>
      <c r="E22" s="17" t="s">
        <v>246</v>
      </c>
      <c r="F22" s="17" t="s">
        <v>246</v>
      </c>
      <c r="G22" s="17">
        <v>1</v>
      </c>
      <c r="H22" s="12" t="s">
        <v>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H37"/>
  <sheetViews>
    <sheetView topLeftCell="B1" workbookViewId="0">
      <selection activeCell="B7" sqref="B7"/>
    </sheetView>
  </sheetViews>
  <sheetFormatPr baseColWidth="10" defaultRowHeight="16"/>
  <cols>
    <col min="2" max="2" width="13.83203125" bestFit="1" customWidth="1"/>
  </cols>
  <sheetData>
    <row r="5" spans="2:8">
      <c r="B5" s="25" t="s">
        <v>341</v>
      </c>
      <c r="E5" s="24" t="s">
        <v>338</v>
      </c>
      <c r="F5" s="24" t="s">
        <v>340</v>
      </c>
      <c r="G5" s="24" t="s">
        <v>339</v>
      </c>
    </row>
    <row r="6" spans="2:8">
      <c r="B6" s="22">
        <f>1/16</f>
        <v>6.25E-2</v>
      </c>
      <c r="C6" t="s">
        <v>337</v>
      </c>
      <c r="E6">
        <v>0.35</v>
      </c>
      <c r="F6">
        <v>0.44</v>
      </c>
      <c r="G6">
        <v>0.56000000000000005</v>
      </c>
      <c r="H6" t="s">
        <v>337</v>
      </c>
    </row>
    <row r="7" spans="2:8">
      <c r="B7" s="1">
        <f>B6/2*25.4</f>
        <v>0.79374999999999996</v>
      </c>
      <c r="C7" t="s">
        <v>336</v>
      </c>
      <c r="E7">
        <f>E6/2*25.4</f>
        <v>4.4449999999999994</v>
      </c>
      <c r="F7">
        <f>F6/2*25.4</f>
        <v>5.5880000000000001</v>
      </c>
      <c r="G7">
        <f>G6/2*25.4</f>
        <v>7.1120000000000001</v>
      </c>
      <c r="H7" t="s">
        <v>336</v>
      </c>
    </row>
    <row r="8" spans="2:8">
      <c r="B8" s="2">
        <f>B7^2*PI()</f>
        <v>1.9793260902246004</v>
      </c>
      <c r="C8" t="s">
        <v>228</v>
      </c>
      <c r="E8" s="2">
        <f>E7^2*PI()</f>
        <v>62.071666189443462</v>
      </c>
      <c r="F8" s="2">
        <f>F7^2*PI()</f>
        <v>98.098567953275563</v>
      </c>
      <c r="G8" s="2">
        <f>G7^2*PI()</f>
        <v>158.9034654449753</v>
      </c>
      <c r="H8" t="s">
        <v>228</v>
      </c>
    </row>
    <row r="9" spans="2:8">
      <c r="B9" s="2">
        <f>1000/B8</f>
        <v>505.22246179583618</v>
      </c>
      <c r="C9" t="s">
        <v>230</v>
      </c>
      <c r="E9" s="2">
        <f>1000/E8</f>
        <v>16.110410133795799</v>
      </c>
      <c r="F9" s="2">
        <f>1000/F8</f>
        <v>10.193828726187938</v>
      </c>
      <c r="G9" s="2">
        <f>1000/G8</f>
        <v>6.2931289585139822</v>
      </c>
      <c r="H9" t="s">
        <v>230</v>
      </c>
    </row>
    <row r="10" spans="2:8">
      <c r="E10">
        <v>200</v>
      </c>
      <c r="F10">
        <v>200</v>
      </c>
      <c r="G10">
        <v>200</v>
      </c>
      <c r="H10" t="s">
        <v>18</v>
      </c>
    </row>
    <row r="11" spans="2:8">
      <c r="B11">
        <v>100</v>
      </c>
      <c r="C11" t="s">
        <v>229</v>
      </c>
      <c r="E11">
        <f>E10*100</f>
        <v>20000</v>
      </c>
      <c r="F11">
        <f t="shared" ref="F11:G11" si="0">F10*100</f>
        <v>20000</v>
      </c>
      <c r="G11">
        <f t="shared" si="0"/>
        <v>20000</v>
      </c>
      <c r="H11" t="s">
        <v>229</v>
      </c>
    </row>
    <row r="12" spans="2:8">
      <c r="B12" s="2">
        <f>B11*B9/10/60</f>
        <v>84.203743632639359</v>
      </c>
      <c r="C12" t="s">
        <v>231</v>
      </c>
      <c r="E12" s="2">
        <f>E11*E9/10/60</f>
        <v>537.01367112652656</v>
      </c>
      <c r="F12" s="2">
        <f>F11*F9/10/60</f>
        <v>339.79429087293124</v>
      </c>
      <c r="G12" s="2">
        <f>G11*G9/10/60</f>
        <v>209.7709652837994</v>
      </c>
      <c r="H12" t="s">
        <v>231</v>
      </c>
    </row>
    <row r="13" spans="2:8">
      <c r="B13" s="1">
        <f>B12/100</f>
        <v>0.84203743632639361</v>
      </c>
      <c r="C13" t="s">
        <v>335</v>
      </c>
      <c r="E13" s="1">
        <f>E12/100</f>
        <v>5.3701367112652658</v>
      </c>
      <c r="F13" s="1">
        <f>F12/100</f>
        <v>3.3979429087293123</v>
      </c>
      <c r="G13" s="1">
        <f>G12/100</f>
        <v>2.0977096528379939</v>
      </c>
      <c r="H13" t="s">
        <v>335</v>
      </c>
    </row>
    <row r="19" spans="2:6">
      <c r="B19" s="1">
        <f>D19</f>
        <v>29.921259842519685</v>
      </c>
      <c r="C19" t="s">
        <v>312</v>
      </c>
      <c r="D19" s="20">
        <f>B22/25.4</f>
        <v>29.921259842519685</v>
      </c>
    </row>
    <row r="20" spans="2:6">
      <c r="B20">
        <v>29.67</v>
      </c>
      <c r="C20" t="s">
        <v>310</v>
      </c>
    </row>
    <row r="22" spans="2:6">
      <c r="B22">
        <v>760</v>
      </c>
      <c r="C22" t="s">
        <v>311</v>
      </c>
      <c r="E22" t="s">
        <v>334</v>
      </c>
    </row>
    <row r="23" spans="2:6">
      <c r="B23" s="2">
        <f xml:space="preserve"> (B$19-B$20)/B$19 *B22</f>
        <v>6.3819999999999597</v>
      </c>
      <c r="C23" t="s">
        <v>313</v>
      </c>
      <c r="E23">
        <v>6.2</v>
      </c>
      <c r="F23" t="s">
        <v>316</v>
      </c>
    </row>
    <row r="25" spans="2:6">
      <c r="B25">
        <v>1000</v>
      </c>
      <c r="C25" t="s">
        <v>314</v>
      </c>
    </row>
    <row r="26" spans="2:6">
      <c r="B26" s="2">
        <f xml:space="preserve"> (B$19-B$20)/B$19 *B25</f>
        <v>8.3973684210525796</v>
      </c>
      <c r="C26" t="s">
        <v>315</v>
      </c>
      <c r="E26" s="2">
        <f>E23*B25/B22</f>
        <v>8.1578947368421044</v>
      </c>
      <c r="F26" t="s">
        <v>315</v>
      </c>
    </row>
    <row r="30" spans="2:6">
      <c r="C30">
        <v>14.7</v>
      </c>
      <c r="D30" t="s">
        <v>330</v>
      </c>
    </row>
    <row r="31" spans="2:6">
      <c r="C31">
        <v>0.12</v>
      </c>
      <c r="D31" t="s">
        <v>331</v>
      </c>
    </row>
    <row r="32" spans="2:6">
      <c r="C32" s="1">
        <f>C31/C30*1000</f>
        <v>8.1632653061224492</v>
      </c>
      <c r="D32" t="s">
        <v>332</v>
      </c>
    </row>
    <row r="33" spans="3:4">
      <c r="C33" s="1">
        <f>C32*B22/1000</f>
        <v>6.204081632653061</v>
      </c>
      <c r="D33" t="s">
        <v>329</v>
      </c>
    </row>
    <row r="36" spans="3:4">
      <c r="C36">
        <v>41</v>
      </c>
      <c r="D36" t="s">
        <v>333</v>
      </c>
    </row>
    <row r="37" spans="3:4">
      <c r="C37" s="2">
        <f>5/9*(C36-32)</f>
        <v>5</v>
      </c>
      <c r="D37" t="s">
        <v>304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3"/>
  <sheetViews>
    <sheetView workbookViewId="0">
      <selection activeCell="K19" sqref="K19"/>
    </sheetView>
  </sheetViews>
  <sheetFormatPr baseColWidth="10" defaultRowHeight="16"/>
  <sheetData>
    <row r="1" spans="1:13">
      <c r="A1" t="s">
        <v>304</v>
      </c>
    </row>
    <row r="6" spans="1:13">
      <c r="C6" t="s">
        <v>319</v>
      </c>
      <c r="D6" t="s">
        <v>320</v>
      </c>
      <c r="E6">
        <v>2</v>
      </c>
      <c r="F6">
        <v>49.99</v>
      </c>
      <c r="G6">
        <f>E6*F6</f>
        <v>99.98</v>
      </c>
      <c r="I6">
        <v>2</v>
      </c>
      <c r="J6">
        <v>49.99</v>
      </c>
      <c r="K6">
        <f>I6*J6</f>
        <v>99.98</v>
      </c>
      <c r="M6">
        <v>49.99</v>
      </c>
    </row>
    <row r="7" spans="1:13">
      <c r="C7" t="s">
        <v>317</v>
      </c>
      <c r="D7" t="s">
        <v>321</v>
      </c>
      <c r="E7">
        <v>2</v>
      </c>
      <c r="F7">
        <v>19.989999999999998</v>
      </c>
      <c r="G7">
        <f t="shared" ref="G7:G12" si="0">E7*F7</f>
        <v>39.979999999999997</v>
      </c>
      <c r="I7">
        <v>2</v>
      </c>
      <c r="J7">
        <v>16.79</v>
      </c>
      <c r="K7">
        <f t="shared" ref="K7:K12" si="1">I7*J7</f>
        <v>33.58</v>
      </c>
      <c r="M7">
        <v>16.79</v>
      </c>
    </row>
    <row r="8" spans="1:13">
      <c r="C8" t="s">
        <v>318</v>
      </c>
      <c r="D8" t="s">
        <v>322</v>
      </c>
      <c r="E8">
        <v>2</v>
      </c>
      <c r="F8">
        <v>19.989999999999998</v>
      </c>
      <c r="G8">
        <f t="shared" si="0"/>
        <v>39.979999999999997</v>
      </c>
      <c r="I8">
        <v>2</v>
      </c>
      <c r="J8">
        <v>19.989999999999998</v>
      </c>
      <c r="K8">
        <f t="shared" si="1"/>
        <v>39.979999999999997</v>
      </c>
      <c r="M8">
        <v>19.989999999999998</v>
      </c>
    </row>
    <row r="9" spans="1:13">
      <c r="C9" t="s">
        <v>323</v>
      </c>
      <c r="D9" t="s">
        <v>324</v>
      </c>
      <c r="E9">
        <v>4</v>
      </c>
      <c r="F9">
        <v>24.99</v>
      </c>
      <c r="G9">
        <f t="shared" si="0"/>
        <v>99.96</v>
      </c>
      <c r="I9">
        <v>4</v>
      </c>
      <c r="J9">
        <v>22.99</v>
      </c>
      <c r="K9">
        <f t="shared" si="1"/>
        <v>91.96</v>
      </c>
      <c r="M9">
        <v>22.99</v>
      </c>
    </row>
    <row r="10" spans="1:13">
      <c r="C10" t="s">
        <v>325</v>
      </c>
      <c r="D10" t="s">
        <v>324</v>
      </c>
      <c r="E10">
        <v>8</v>
      </c>
      <c r="F10">
        <v>11.99</v>
      </c>
      <c r="G10">
        <f t="shared" si="0"/>
        <v>95.92</v>
      </c>
      <c r="I10">
        <v>8</v>
      </c>
      <c r="J10">
        <v>11.99</v>
      </c>
      <c r="K10">
        <f t="shared" si="1"/>
        <v>95.92</v>
      </c>
      <c r="M10">
        <v>12.99</v>
      </c>
    </row>
    <row r="11" spans="1:13">
      <c r="C11" t="s">
        <v>326</v>
      </c>
      <c r="E11">
        <v>8</v>
      </c>
      <c r="F11">
        <f>7.44/2</f>
        <v>3.72</v>
      </c>
      <c r="G11">
        <f t="shared" si="0"/>
        <v>29.76</v>
      </c>
      <c r="I11">
        <v>8</v>
      </c>
      <c r="J11" s="1">
        <f>25.99/8</f>
        <v>3.2487499999999998</v>
      </c>
      <c r="K11">
        <f t="shared" si="1"/>
        <v>25.99</v>
      </c>
      <c r="M11" s="1">
        <f>25.99/8</f>
        <v>3.2487499999999998</v>
      </c>
    </row>
    <row r="12" spans="1:13">
      <c r="C12" t="s">
        <v>327</v>
      </c>
      <c r="D12" t="s">
        <v>328</v>
      </c>
      <c r="E12">
        <v>4</v>
      </c>
      <c r="F12">
        <v>12.99</v>
      </c>
      <c r="G12">
        <f t="shared" si="0"/>
        <v>51.96</v>
      </c>
      <c r="I12">
        <v>4</v>
      </c>
      <c r="J12">
        <v>12.99</v>
      </c>
      <c r="K12">
        <f t="shared" si="1"/>
        <v>51.96</v>
      </c>
      <c r="M12">
        <v>12.99</v>
      </c>
    </row>
    <row r="13" spans="1:13">
      <c r="G13">
        <f>SUM(G6:G12)</f>
        <v>457.53999999999996</v>
      </c>
      <c r="K13">
        <f>SUM(K6:K12)</f>
        <v>439.37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5:L35"/>
  <sheetViews>
    <sheetView workbookViewId="0">
      <selection activeCell="L26" sqref="L26"/>
    </sheetView>
  </sheetViews>
  <sheetFormatPr baseColWidth="10" defaultRowHeight="16"/>
  <cols>
    <col min="2" max="2" width="14.33203125" customWidth="1"/>
  </cols>
  <sheetData>
    <row r="5" spans="2:9">
      <c r="C5" t="s">
        <v>303</v>
      </c>
    </row>
    <row r="6" spans="2:9">
      <c r="B6">
        <v>0.02</v>
      </c>
      <c r="C6" t="s">
        <v>34</v>
      </c>
      <c r="E6">
        <v>3.5</v>
      </c>
    </row>
    <row r="7" spans="2:9">
      <c r="B7">
        <v>189</v>
      </c>
      <c r="C7" t="s">
        <v>33</v>
      </c>
      <c r="E7">
        <v>25.4</v>
      </c>
    </row>
    <row r="8" spans="2:9">
      <c r="B8">
        <f>B6*B7</f>
        <v>3.7800000000000002</v>
      </c>
      <c r="C8" t="s">
        <v>35</v>
      </c>
      <c r="E8">
        <f>E7*E6</f>
        <v>88.899999999999991</v>
      </c>
    </row>
    <row r="12" spans="2:9">
      <c r="B12" s="3" t="s">
        <v>302</v>
      </c>
    </row>
    <row r="13" spans="2:9">
      <c r="B13" s="3">
        <v>11</v>
      </c>
      <c r="H13" t="s">
        <v>342</v>
      </c>
    </row>
    <row r="14" spans="2:9">
      <c r="C14" s="3" t="s">
        <v>301</v>
      </c>
      <c r="D14" s="3" t="s">
        <v>300</v>
      </c>
      <c r="E14" s="3" t="s">
        <v>298</v>
      </c>
      <c r="F14" s="3" t="s">
        <v>299</v>
      </c>
      <c r="H14" s="3" t="s">
        <v>298</v>
      </c>
      <c r="I14" s="3" t="s">
        <v>299</v>
      </c>
    </row>
    <row r="15" spans="2:9">
      <c r="B15" t="s">
        <v>297</v>
      </c>
      <c r="C15" s="3">
        <v>1</v>
      </c>
      <c r="D15" s="3">
        <v>10.6</v>
      </c>
      <c r="E15" s="21">
        <f>B$13/D15*C15</f>
        <v>1.0377358490566038</v>
      </c>
      <c r="F15" s="21">
        <f t="shared" ref="F15:F21" si="0">B$13*E15</f>
        <v>11.415094339622641</v>
      </c>
      <c r="H15" s="21">
        <v>1</v>
      </c>
      <c r="I15" s="21">
        <f>B$13*H15</f>
        <v>11</v>
      </c>
    </row>
    <row r="16" spans="2:9">
      <c r="B16" t="s">
        <v>309</v>
      </c>
      <c r="C16" s="3">
        <v>1</v>
      </c>
      <c r="D16" s="3">
        <v>8.5</v>
      </c>
      <c r="E16" s="21">
        <f>B$13/D16*C16</f>
        <v>1.2941176470588236</v>
      </c>
      <c r="F16" s="21">
        <f t="shared" si="0"/>
        <v>14.23529411764706</v>
      </c>
      <c r="H16" s="21">
        <v>1.24</v>
      </c>
      <c r="I16" s="21">
        <f t="shared" ref="I16:I21" si="1">B$13*H16</f>
        <v>13.64</v>
      </c>
    </row>
    <row r="17" spans="2:12">
      <c r="B17" t="s">
        <v>306</v>
      </c>
      <c r="C17" s="3">
        <v>1</v>
      </c>
      <c r="D17" s="3">
        <v>7.1</v>
      </c>
      <c r="E17" s="21">
        <f>B$13/D17*C17</f>
        <v>1.5492957746478875</v>
      </c>
      <c r="F17" s="21">
        <f t="shared" si="0"/>
        <v>17.042253521126764</v>
      </c>
      <c r="H17" s="21">
        <v>1.4</v>
      </c>
      <c r="I17" s="21">
        <f t="shared" si="1"/>
        <v>15.399999999999999</v>
      </c>
    </row>
    <row r="18" spans="2:12">
      <c r="B18" t="s">
        <v>307</v>
      </c>
      <c r="C18" s="3">
        <v>1</v>
      </c>
      <c r="D18" s="3">
        <v>7.1</v>
      </c>
      <c r="E18" s="21">
        <f>B$13/D18*C18</f>
        <v>1.5492957746478875</v>
      </c>
      <c r="F18" s="21">
        <f t="shared" si="0"/>
        <v>17.042253521126764</v>
      </c>
      <c r="H18" s="21">
        <v>1.4</v>
      </c>
      <c r="I18" s="21">
        <f t="shared" si="1"/>
        <v>15.399999999999999</v>
      </c>
    </row>
    <row r="19" spans="2:12">
      <c r="B19" t="s">
        <v>308</v>
      </c>
      <c r="C19" s="3">
        <v>1</v>
      </c>
      <c r="D19" s="3">
        <v>7.3</v>
      </c>
      <c r="E19" s="21">
        <f>B$13/D19*C19</f>
        <v>1.5068493150684932</v>
      </c>
      <c r="F19" s="21">
        <f t="shared" si="0"/>
        <v>16.575342465753426</v>
      </c>
      <c r="H19" s="21">
        <v>1.4</v>
      </c>
      <c r="I19" s="21">
        <f t="shared" si="1"/>
        <v>15.399999999999999</v>
      </c>
    </row>
    <row r="20" spans="2:12">
      <c r="B20" t="s">
        <v>296</v>
      </c>
      <c r="C20" s="3">
        <v>1</v>
      </c>
      <c r="D20" s="3" t="s">
        <v>304</v>
      </c>
      <c r="E20" s="21">
        <v>0.42</v>
      </c>
      <c r="F20" s="21">
        <f t="shared" si="0"/>
        <v>4.62</v>
      </c>
      <c r="H20" s="21">
        <v>0.42</v>
      </c>
      <c r="I20" s="21">
        <f t="shared" si="1"/>
        <v>4.62</v>
      </c>
    </row>
    <row r="21" spans="2:12">
      <c r="B21" t="s">
        <v>305</v>
      </c>
      <c r="C21" s="3">
        <v>1</v>
      </c>
      <c r="D21" s="3">
        <v>30</v>
      </c>
      <c r="E21" s="21">
        <f>B$13/D21*C21</f>
        <v>0.36666666666666664</v>
      </c>
      <c r="F21" s="21">
        <f t="shared" si="0"/>
        <v>4.0333333333333332</v>
      </c>
      <c r="H21" s="21">
        <v>0.4</v>
      </c>
      <c r="I21" s="21">
        <f t="shared" si="1"/>
        <v>4.4000000000000004</v>
      </c>
    </row>
    <row r="22" spans="2:12">
      <c r="B22" t="s">
        <v>344</v>
      </c>
      <c r="D22" s="3"/>
      <c r="E22" s="21">
        <f>SUM(E15:E21)</f>
        <v>7.7239610271463617</v>
      </c>
      <c r="F22" s="21">
        <f>SUM(F15:F21)</f>
        <v>84.963571298609992</v>
      </c>
      <c r="H22" s="21">
        <f>SUM(H15:H21)</f>
        <v>7.26</v>
      </c>
      <c r="I22" s="21">
        <f>SUM(I15:I21)</f>
        <v>79.860000000000014</v>
      </c>
    </row>
    <row r="24" spans="2:12">
      <c r="L24" s="23" t="s">
        <v>343</v>
      </c>
    </row>
    <row r="25" spans="2:12">
      <c r="L25">
        <v>64</v>
      </c>
    </row>
    <row r="27" spans="2:12">
      <c r="K27" s="23" t="s">
        <v>346</v>
      </c>
      <c r="L27" s="23" t="s">
        <v>345</v>
      </c>
    </row>
    <row r="28" spans="2:12">
      <c r="K28">
        <v>1</v>
      </c>
      <c r="L28">
        <f>L$25^K28</f>
        <v>64</v>
      </c>
    </row>
    <row r="29" spans="2:12">
      <c r="K29">
        <v>2</v>
      </c>
      <c r="L29">
        <f t="shared" ref="L29:L35" si="2">L$25^K29</f>
        <v>4096</v>
      </c>
    </row>
    <row r="30" spans="2:12">
      <c r="K30">
        <v>3</v>
      </c>
      <c r="L30">
        <f t="shared" si="2"/>
        <v>262144</v>
      </c>
    </row>
    <row r="31" spans="2:12">
      <c r="K31">
        <v>4</v>
      </c>
      <c r="L31">
        <f t="shared" si="2"/>
        <v>16777216</v>
      </c>
    </row>
    <row r="32" spans="2:12">
      <c r="K32">
        <v>5</v>
      </c>
      <c r="L32">
        <f t="shared" si="2"/>
        <v>1073741824</v>
      </c>
    </row>
    <row r="33" spans="11:12">
      <c r="K33">
        <v>6</v>
      </c>
      <c r="L33">
        <f t="shared" si="2"/>
        <v>68719476736</v>
      </c>
    </row>
    <row r="34" spans="11:12">
      <c r="K34">
        <v>7</v>
      </c>
      <c r="L34">
        <f t="shared" si="2"/>
        <v>4398046511104</v>
      </c>
    </row>
    <row r="35" spans="11:12">
      <c r="K35">
        <v>8</v>
      </c>
      <c r="L35">
        <f t="shared" si="2"/>
        <v>281474976710656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Volume</vt:lpstr>
      <vt:lpstr>intercooler</vt:lpstr>
      <vt:lpstr>Heater</vt:lpstr>
      <vt:lpstr>Valves</vt:lpstr>
      <vt:lpstr>Materials</vt:lpstr>
      <vt:lpstr>Things I have built</vt:lpstr>
      <vt:lpstr>vacuum +velocity</vt:lpstr>
      <vt:lpstr>Column HW</vt:lpstr>
      <vt:lpstr>electrical</vt:lpstr>
      <vt:lpstr>bom</vt:lpstr>
      <vt:lpstr>EquipmentList</vt:lpstr>
      <vt:lpstr>RTU config</vt:lpstr>
      <vt:lpstr>O2 RTU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Michael Koster</cp:lastModifiedBy>
  <cp:lastPrinted>2021-08-14T16:50:33Z</cp:lastPrinted>
  <dcterms:created xsi:type="dcterms:W3CDTF">2020-04-18T23:46:49Z</dcterms:created>
  <dcterms:modified xsi:type="dcterms:W3CDTF">2021-09-09T22:47:20Z</dcterms:modified>
</cp:coreProperties>
</file>