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22CE8731-D28F-C348-B37C-63B31BA27FC1}" xr6:coauthVersionLast="36" xr6:coauthVersionMax="36" xr10:uidLastSave="{00000000-0000-0000-0000-000000000000}"/>
  <bookViews>
    <workbookView xWindow="1860" yWindow="500" windowWidth="25120" windowHeight="16820" tabRatio="500" xr2:uid="{00000000-000D-0000-FFFF-FFFF00000000}"/>
  </bookViews>
  <sheets>
    <sheet name="Volume" sheetId="1" r:id="rId1"/>
    <sheet name="Compressor" sheetId="14" r:id="rId2"/>
    <sheet name="Convection" sheetId="31" r:id="rId3"/>
    <sheet name="Volume-radialflow" sheetId="26" r:id="rId4"/>
    <sheet name="isotherm" sheetId="18" r:id="rId5"/>
    <sheet name="Model-O24U" sheetId="21" r:id="rId6"/>
    <sheet name="Model-tester" sheetId="24" r:id="rId7"/>
    <sheet name="model-puffer" sheetId="23" r:id="rId8"/>
    <sheet name="Model-VPSA" sheetId="22" r:id="rId9"/>
    <sheet name="BOMcost" sheetId="25" r:id="rId10"/>
    <sheet name="intercooler" sheetId="10" r:id="rId11"/>
    <sheet name="Heater" sheetId="6" r:id="rId12"/>
    <sheet name="Valves" sheetId="2" r:id="rId13"/>
    <sheet name="Materials" sheetId="9" r:id="rId14"/>
    <sheet name="Things I have built" sheetId="7" r:id="rId15"/>
    <sheet name="vacuum +velocity" sheetId="5" r:id="rId16"/>
    <sheet name="Column HW" sheetId="8" r:id="rId17"/>
    <sheet name="electrical" sheetId="3" r:id="rId18"/>
    <sheet name="bom" sheetId="4" r:id="rId19"/>
    <sheet name="EquipmentList" sheetId="11" r:id="rId20"/>
    <sheet name="RTU config" sheetId="12" r:id="rId21"/>
    <sheet name="O2 RTU" sheetId="13" r:id="rId2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8" i="1" l="1"/>
  <c r="U48" i="1"/>
  <c r="U46" i="1"/>
  <c r="U49" i="1" s="1"/>
  <c r="U45" i="1"/>
  <c r="U44" i="1"/>
  <c r="E60" i="18"/>
  <c r="F60" i="18"/>
  <c r="G60" i="18"/>
  <c r="G61" i="18" s="1"/>
  <c r="H60" i="18"/>
  <c r="H61" i="18" s="1"/>
  <c r="I60" i="18"/>
  <c r="J60" i="18"/>
  <c r="K60" i="18"/>
  <c r="L60" i="18"/>
  <c r="M60" i="18"/>
  <c r="N60" i="18"/>
  <c r="E61" i="18"/>
  <c r="F61" i="18"/>
  <c r="I61" i="18"/>
  <c r="J61" i="18"/>
  <c r="K61" i="18"/>
  <c r="L61" i="18"/>
  <c r="M61" i="18"/>
  <c r="N61" i="18"/>
  <c r="D61" i="18"/>
  <c r="D60" i="18"/>
  <c r="F85" i="1"/>
  <c r="G85" i="1" s="1"/>
  <c r="E85" i="1"/>
  <c r="F82" i="1"/>
  <c r="G82" i="1" s="1"/>
  <c r="I82" i="1" s="1"/>
  <c r="J82" i="1" s="1"/>
  <c r="E82" i="1"/>
  <c r="F87" i="1"/>
  <c r="E87" i="1"/>
  <c r="F86" i="1"/>
  <c r="E86" i="1"/>
  <c r="E26" i="2"/>
  <c r="F26" i="2"/>
  <c r="G26" i="2"/>
  <c r="G29" i="2" s="1"/>
  <c r="E27" i="2"/>
  <c r="F27" i="2"/>
  <c r="G27" i="2"/>
  <c r="D27" i="2"/>
  <c r="D26" i="2"/>
  <c r="D30" i="2" s="1"/>
  <c r="C24" i="6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F43" i="18"/>
  <c r="F41" i="18"/>
  <c r="F51" i="18" s="1"/>
  <c r="F52" i="18" s="1"/>
  <c r="G34" i="18"/>
  <c r="M66" i="18"/>
  <c r="M68" i="18"/>
  <c r="M43" i="18"/>
  <c r="T69" i="1"/>
  <c r="S69" i="1"/>
  <c r="S70" i="1"/>
  <c r="S71" i="1" s="1"/>
  <c r="S72" i="1" s="1"/>
  <c r="S73" i="1" s="1"/>
  <c r="G43" i="18"/>
  <c r="H43" i="18"/>
  <c r="K43" i="18"/>
  <c r="J43" i="18"/>
  <c r="D43" i="18"/>
  <c r="N43" i="18"/>
  <c r="L43" i="18"/>
  <c r="I43" i="18"/>
  <c r="U50" i="1" l="1"/>
  <c r="U56" i="1" s="1"/>
  <c r="U60" i="1" s="1"/>
  <c r="U61" i="1" s="1"/>
  <c r="G86" i="1"/>
  <c r="N82" i="1"/>
  <c r="O82" i="1" s="1"/>
  <c r="K82" i="1"/>
  <c r="G87" i="1"/>
  <c r="E29" i="2"/>
  <c r="F29" i="2"/>
  <c r="G30" i="2"/>
  <c r="F30" i="2"/>
  <c r="E30" i="2"/>
  <c r="D29" i="2"/>
  <c r="F39" i="31"/>
  <c r="E39" i="31"/>
  <c r="F44" i="18"/>
  <c r="F54" i="18"/>
  <c r="F55" i="18" s="1"/>
  <c r="F45" i="18"/>
  <c r="F47" i="18"/>
  <c r="F57" i="18" s="1"/>
  <c r="E43" i="18"/>
  <c r="P82" i="1" l="1"/>
  <c r="T82" i="1"/>
  <c r="C34" i="3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S44" i="1"/>
  <c r="S45" i="1"/>
  <c r="S48" i="1" s="1"/>
  <c r="S50" i="1" s="1"/>
  <c r="S56" i="1" s="1"/>
  <c r="S60" i="1" s="1"/>
  <c r="S61" i="1" s="1"/>
  <c r="S46" i="1"/>
  <c r="S49" i="1"/>
  <c r="D14" i="26"/>
  <c r="D15" i="26"/>
  <c r="D16" i="26" s="1"/>
  <c r="N111" i="1"/>
  <c r="N109" i="1"/>
  <c r="P70" i="1"/>
  <c r="P71" i="1" s="1"/>
  <c r="P72" i="1" s="1"/>
  <c r="P73" i="1" s="1"/>
  <c r="N105" i="1"/>
  <c r="R69" i="1"/>
  <c r="R70" i="1" s="1"/>
  <c r="N70" i="1"/>
  <c r="Q70" i="1"/>
  <c r="M70" i="1"/>
  <c r="D65" i="1"/>
  <c r="I71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R10" i="2"/>
  <c r="R14" i="2" s="1"/>
  <c r="R11" i="2"/>
  <c r="Q11" i="2"/>
  <c r="Q10" i="2"/>
  <c r="Q14" i="2" s="1"/>
  <c r="P11" i="2"/>
  <c r="P10" i="2"/>
  <c r="P14" i="2" s="1"/>
  <c r="O29" i="1"/>
  <c r="G47" i="1"/>
  <c r="I47" i="1" s="1"/>
  <c r="J47" i="1" s="1"/>
  <c r="K47" i="1" s="1"/>
  <c r="T85" i="1" l="1"/>
  <c r="U85" i="1" s="1"/>
  <c r="T84" i="1"/>
  <c r="U84" i="1" s="1"/>
  <c r="D31" i="3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O60" i="1" s="1"/>
  <c r="O61" i="1" s="1"/>
  <c r="R58" i="1"/>
  <c r="P58" i="1"/>
  <c r="R48" i="1"/>
  <c r="R50" i="1" s="1"/>
  <c r="R56" i="1" s="1"/>
  <c r="R60" i="1" s="1"/>
  <c r="R61" i="1" s="1"/>
  <c r="P48" i="1"/>
  <c r="P50" i="1" s="1"/>
  <c r="P56" i="1" s="1"/>
  <c r="P60" i="1" s="1"/>
  <c r="P61" i="1" s="1"/>
  <c r="Q58" i="1"/>
  <c r="Q48" i="1"/>
  <c r="Q50" i="1" s="1"/>
  <c r="Q56" i="1" s="1"/>
  <c r="Q60" i="1" s="1"/>
  <c r="Q61" i="1" s="1"/>
  <c r="G55" i="1"/>
  <c r="I55" i="1" s="1"/>
  <c r="J55" i="1" s="1"/>
  <c r="K55" i="1" s="1"/>
  <c r="G50" i="1"/>
  <c r="I50" i="1" s="1"/>
  <c r="J50" i="1" s="1"/>
  <c r="K50" i="1" s="1"/>
  <c r="F27" i="23"/>
  <c r="F28" i="23" s="1"/>
  <c r="R13" i="2"/>
  <c r="Q13" i="2"/>
  <c r="P13" i="2"/>
  <c r="G46" i="1"/>
  <c r="I46" i="1" s="1"/>
  <c r="J46" i="1" s="1"/>
  <c r="K46" i="1" s="1"/>
  <c r="C37" i="21"/>
  <c r="I81" i="1" l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G19" i="25"/>
  <c r="D19" i="25"/>
  <c r="E16" i="25"/>
  <c r="E19" i="25" s="1"/>
  <c r="F16" i="25"/>
  <c r="F19" i="25" s="1"/>
  <c r="G16" i="25"/>
  <c r="D16" i="25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F33" i="1"/>
  <c r="E33" i="1"/>
  <c r="F19" i="1"/>
  <c r="E19" i="1"/>
  <c r="F30" i="1"/>
  <c r="E30" i="1"/>
  <c r="F29" i="1"/>
  <c r="E29" i="1"/>
  <c r="G28" i="18" l="1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F34" i="18" s="1"/>
  <c r="E28" i="18"/>
  <c r="E31" i="18"/>
  <c r="G31" i="18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G41" i="18" l="1"/>
  <c r="J41" i="18"/>
  <c r="M41" i="18"/>
  <c r="H41" i="18"/>
  <c r="D41" i="18"/>
  <c r="K41" i="18"/>
  <c r="I41" i="18"/>
  <c r="I47" i="18" s="1"/>
  <c r="E41" i="18"/>
  <c r="E47" i="18" s="1"/>
  <c r="L41" i="18"/>
  <c r="L47" i="18" s="1"/>
  <c r="N41" i="18"/>
  <c r="N47" i="18" s="1"/>
  <c r="E34" i="18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M51" i="18" l="1"/>
  <c r="M52" i="18" s="1"/>
  <c r="M44" i="18"/>
  <c r="M47" i="18"/>
  <c r="K51" i="18"/>
  <c r="K52" i="18" s="1"/>
  <c r="K47" i="18"/>
  <c r="K44" i="18"/>
  <c r="J51" i="18"/>
  <c r="J52" i="18" s="1"/>
  <c r="J47" i="18"/>
  <c r="J44" i="18"/>
  <c r="G51" i="18"/>
  <c r="G52" i="18" s="1"/>
  <c r="G44" i="18"/>
  <c r="G47" i="18"/>
  <c r="D44" i="18"/>
  <c r="D51" i="18"/>
  <c r="D52" i="18" s="1"/>
  <c r="D47" i="18"/>
  <c r="H51" i="18"/>
  <c r="H52" i="18" s="1"/>
  <c r="H47" i="18"/>
  <c r="H44" i="18"/>
  <c r="M72" i="18"/>
  <c r="M69" i="18"/>
  <c r="M73" i="18" s="1"/>
  <c r="N51" i="18"/>
  <c r="N52" i="18" s="1"/>
  <c r="N44" i="18"/>
  <c r="L51" i="18"/>
  <c r="L52" i="18" s="1"/>
  <c r="L44" i="18"/>
  <c r="E51" i="18"/>
  <c r="E52" i="18" s="1"/>
  <c r="E44" i="18"/>
  <c r="I51" i="18"/>
  <c r="I52" i="18" s="1"/>
  <c r="I44" i="18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G54" i="18" l="1"/>
  <c r="G55" i="18" s="1"/>
  <c r="G45" i="18"/>
  <c r="H45" i="18"/>
  <c r="H54" i="18"/>
  <c r="H55" i="18" s="1"/>
  <c r="K54" i="18"/>
  <c r="K55" i="18" s="1"/>
  <c r="K45" i="18"/>
  <c r="M45" i="18"/>
  <c r="M54" i="18"/>
  <c r="M55" i="18" s="1"/>
  <c r="M74" i="18"/>
  <c r="M70" i="18"/>
  <c r="D45" i="18"/>
  <c r="D54" i="18"/>
  <c r="D55" i="18" s="1"/>
  <c r="J45" i="18"/>
  <c r="J54" i="18"/>
  <c r="J55" i="18" s="1"/>
  <c r="I54" i="18"/>
  <c r="I55" i="18" s="1"/>
  <c r="I45" i="18"/>
  <c r="N54" i="18"/>
  <c r="N55" i="18" s="1"/>
  <c r="N45" i="18"/>
  <c r="E45" i="18"/>
  <c r="E54" i="18"/>
  <c r="E55" i="18" s="1"/>
  <c r="L54" i="18"/>
  <c r="L55" i="18" s="1"/>
  <c r="L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G14" i="2"/>
  <c r="J10" i="2"/>
  <c r="J14" i="2" s="1"/>
  <c r="J11" i="2"/>
  <c r="J13" i="2" s="1"/>
  <c r="D13" i="2"/>
  <c r="L10" i="2"/>
  <c r="L13" i="2" s="1"/>
  <c r="L11" i="2"/>
  <c r="M10" i="2"/>
  <c r="M11" i="2"/>
  <c r="N10" i="2"/>
  <c r="N14" i="2" s="1"/>
  <c r="N11" i="2"/>
  <c r="D10" i="2"/>
  <c r="D11" i="2"/>
  <c r="D14" i="2" s="1"/>
  <c r="E10" i="2"/>
  <c r="E14" i="2" s="1"/>
  <c r="E11" i="2"/>
  <c r="F10" i="2"/>
  <c r="F11" i="2"/>
  <c r="G10" i="2"/>
  <c r="G11" i="2"/>
  <c r="G13" i="2"/>
  <c r="H10" i="2"/>
  <c r="H11" i="2"/>
  <c r="I10" i="2"/>
  <c r="I14" i="2" s="1"/>
  <c r="I11" i="2"/>
  <c r="O15" i="1"/>
  <c r="O20" i="1" s="1"/>
  <c r="D16" i="6"/>
  <c r="E8" i="3"/>
  <c r="B8" i="3"/>
  <c r="E24" i="1"/>
  <c r="F24" i="1"/>
  <c r="F21" i="1"/>
  <c r="E21" i="1"/>
  <c r="H57" i="18" l="1"/>
  <c r="M76" i="18"/>
  <c r="M57" i="18"/>
  <c r="G57" i="18"/>
  <c r="D57" i="18"/>
  <c r="K57" i="18"/>
  <c r="J57" i="18"/>
  <c r="N57" i="18"/>
  <c r="I57" i="18"/>
  <c r="E57" i="18"/>
  <c r="L57" i="18"/>
  <c r="F14" i="2"/>
  <c r="G18" i="1"/>
  <c r="I18" i="1" s="1"/>
  <c r="J18" i="1" s="1"/>
  <c r="G24" i="1"/>
  <c r="G9" i="1"/>
  <c r="M9" i="1" s="1"/>
  <c r="G17" i="1"/>
  <c r="M17" i="1" s="1"/>
  <c r="M13" i="2"/>
  <c r="L14" i="2"/>
  <c r="H14" i="2"/>
  <c r="H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M14" i="2"/>
  <c r="I13" i="2"/>
  <c r="E13" i="2"/>
  <c r="F13" i="2"/>
  <c r="N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<sst xmlns="http://schemas.openxmlformats.org/spreadsheetml/2006/main" count="1757" uniqueCount="1078">
  <si>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</si>
  <si>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</si>
  <si>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</si>
  <si>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</si>
  <si>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</si>
  <si>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</si>
  <si>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</si>
  <si>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</si>
  <si>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</si>
  <si>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</si>
  <si>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</si>
  <si>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</si>
  <si>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</si>
  <si>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</si>
  <si>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</si>
  <si>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</si>
  <si>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</si>
  <si>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</si>
  <si>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</si>
  <si>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</si>
  <si>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</si>
  <si>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</si>
  <si>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</si>
  <si>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</si>
  <si>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</si>
  <si>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</si>
  <si>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</si>
  <si>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</si>
  <si>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</si>
  <si>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</si>
  <si>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</si>
  <si>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</si>
  <si>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</si>
  <si>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</si>
  <si>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</si>
  <si>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</si>
  <si>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</si>
  <si>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</si>
  <si>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</si>
  <si>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</si>
  <si>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</si>
  <si>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</si>
  <si>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</si>
  <si>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</si>
  <si>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</si>
  <si>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</si>
  <si>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</si>
  <si>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</si>
  <si>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</si>
  <si>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</si>
  <si>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</si>
  <si>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</si>
  <si>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</si>
  <si>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</si>
  <si>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</si>
  <si>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</si>
  <si>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</si>
  <si>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</si>
  <si>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</si>
  <si>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</si>
  <si>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</si>
  <si>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</si>
  <si>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</si>
  <si>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</si>
  <si>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</si>
  <si>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</si>
  <si>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</si>
  <si>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</si>
  <si>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</si>
  <si>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</si>
  <si>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</si>
  <si>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</si>
  <si>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</si>
  <si>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</si>
  <si>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</si>
  <si>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</si>
  <si>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</si>
  <si>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</si>
  <si>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</si>
  <si>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</si>
  <si>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</si>
  <si>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</si>
  <si>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</si>
  <si>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</si>
  <si>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</si>
  <si>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</si>
  <si>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</si>
  <si>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</si>
  <si>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</si>
  <si>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</si>
  <si>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</si>
  <si>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</si>
  <si>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</si>
  <si>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</si>
  <si>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</si>
  <si>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</si>
  <si>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</si>
  <si>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</si>
  <si>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</si>
  <si>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</si>
  <si>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</si>
  <si>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</si>
  <si>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</si>
  <si>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</si>
  <si>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</si>
  <si>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</si>
  <si>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</si>
  <si>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</si>
  <si>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</si>
  <si>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</si>
  <si>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</si>
  <si>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</si>
  <si>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</si>
  <si>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</si>
  <si>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</si>
  <si>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</si>
  <si>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</si>
  <si>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</si>
  <si>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</si>
  <si>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</si>
  <si>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</si>
  <si>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</si>
  <si>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</si>
  <si>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</si>
  <si>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</si>
  <si>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</si>
  <si>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</si>
  <si>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</si>
  <si>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</si>
  <si>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</si>
  <si>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</si>
  <si>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</si>
  <si>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</si>
  <si>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</si>
  <si>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</si>
  <si>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</si>
  <si>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</si>
  <si>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</si>
  <si>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</si>
  <si>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</si>
  <si>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</si>
  <si>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</si>
  <si>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</si>
  <si>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</si>
  <si>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</si>
  <si>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</si>
  <si>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</si>
  <si>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</si>
  <si>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</si>
  <si>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</si>
  <si>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</si>
  <si>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</si>
  <si>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</si>
  <si>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</si>
  <si>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</si>
  <si>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</si>
  <si>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</si>
  <si>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</si>
  <si>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</si>
  <si>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</si>
  <si>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</si>
  <si>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</si>
  <si>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</si>
  <si>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</si>
  <si>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</si>
  <si>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</si>
  <si>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</si>
  <si>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</si>
  <si>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</si>
  <si>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</si>
  <si>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</si>
  <si>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</si>
  <si>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</si>
  <si>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</si>
  <si>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</si>
  <si>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</si>
  <si>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</si>
  <si>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</si>
  <si>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</si>
  <si>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</si>
  <si>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</si>
  <si>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</si>
  <si>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</si>
  <si>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</si>
  <si>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</si>
  <si>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</si>
  <si>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</si>
  <si>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</si>
  <si>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</si>
  <si>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</si>
  <si>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</si>
  <si>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</si>
  <si>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</si>
  <si>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</si>
  <si>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</si>
  <si>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</si>
  <si>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</si>
  <si>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</si>
  <si>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</si>
  <si>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</si>
  <si>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</si>
  <si>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</si>
  <si>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</si>
  <si>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</si>
  <si>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</si>
  <si>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</si>
  <si>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</si>
  <si>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</si>
  <si>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</si>
  <si>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</si>
  <si>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</si>
  <si>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</si>
  <si>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</si>
  <si>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</si>
  <si>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</si>
  <si>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</si>
  <si>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</si>
  <si>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</si>
  <si>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</si>
  <si>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</si>
  <si>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</si>
  <si>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</si>
  <si>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</si>
  <si>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</si>
  <si>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</si>
  <si>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</si>
  <si>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</si>
  <si>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</si>
  <si>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</si>
  <si>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</si>
  <si>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</si>
  <si>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</si>
  <si>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</si>
  <si>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</si>
  <si>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</si>
  <si>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</si>
  <si>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</si>
  <si>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</si>
  <si>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</si>
  <si>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</si>
  <si>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</si>
  <si>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</si>
  <si>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</si>
  <si>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</si>
  <si>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</si>
  <si>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</si>
  <si>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</si>
  <si>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</si>
  <si>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</si>
  <si>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</si>
  <si>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</si>
  <si>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</si>
  <si>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</si>
  <si>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</si>
  <si>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</si>
  <si>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</si>
  <si>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</si>
  <si>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</si>
  <si>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</si>
  <si>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</si>
  <si>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</si>
  <si>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</si>
  <si>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</si>
  <si>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</si>
  <si>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</si>
  <si>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</si>
  <si>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</si>
  <si>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</si>
  <si>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</si>
  <si>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</si>
  <si>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</si>
  <si>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</si>
  <si>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</si>
  <si>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</si>
  <si>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</si>
  <si>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</si>
  <si>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</si>
  <si>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</si>
  <si>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</si>
  <si>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</si>
  <si>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</si>
  <si>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</si>
  <si>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</si>
  <si>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</si>
  <si>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</si>
  <si>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</si>
  <si>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</si>
  <si>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</si>
  <si>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</si>
  <si>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</si>
  <si>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</si>
  <si>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</si>
  <si>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</si>
  <si>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</si>
  <si>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</si>
  <si>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</si>
  <si>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</si>
  <si>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</si>
  <si>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</si>
  <si>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</si>
  <si>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</si>
  <si>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</si>
  <si>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</si>
  <si>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</si>
  <si>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</si>
  <si>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</si>
  <si>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</si>
  <si>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</si>
  <si>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</si>
  <si>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</si>
  <si>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</si>
  <si>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</si>
  <si>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</si>
  <si>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</si>
  <si>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</si>
  <si>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</si>
  <si>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</si>
  <si>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</si>
  <si>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</si>
  <si>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</si>
  <si>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</si>
  <si>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</si>
  <si>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</si>
  <si>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</si>
  <si>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</si>
  <si>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</si>
  <si>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</si>
  <si>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</si>
  <si>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</si>
  <si>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</si>
  <si>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</si>
  <si>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</si>
  <si>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</si>
  <si>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</si>
  <si>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</si>
  <si>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</si>
  <si>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</si>
  <si>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</si>
  <si>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</si>
  <si>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</si>
  <si>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</si>
  <si>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</si>
  <si>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</si>
  <si>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</si>
  <si>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</si>
  <si>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</si>
  <si>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</si>
  <si>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</si>
  <si>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</si>
  <si>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</si>
  <si>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</si>
  <si>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</si>
  <si>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</si>
  <si>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</si>
  <si>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</si>
  <si>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</si>
  <si>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</si>
  <si>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</si>
  <si>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</si>
  <si>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</si>
  <si>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</si>
  <si>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</si>
  <si>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</si>
  <si>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</si>
  <si>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</si>
  <si>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</si>
  <si>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</si>
  <si>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</si>
  <si>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</si>
  <si>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</si>
  <si>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</si>
  <si>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</si>
  <si>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</si>
  <si>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</si>
  <si>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</si>
  <si>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</si>
  <si>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</si>
  <si>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</si>
  <si>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</si>
  <si>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</si>
  <si>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</si>
  <si>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</si>
  <si>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</si>
  <si>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</si>
  <si>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</si>
  <si>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</si>
  <si>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</si>
  <si>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</si>
  <si>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</si>
  <si>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</si>
  <si>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</si>
  <si>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</si>
  <si>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</si>
  <si>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</si>
  <si>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</si>
  <si>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</si>
  <si>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</si>
  <si>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</si>
  <si>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</si>
  <si>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</si>
  <si>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</si>
  <si>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</si>
  <si>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</si>
  <si>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</si>
  <si>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</si>
  <si>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</si>
  <si>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</si>
  <si>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</si>
  <si>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</si>
  <si>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</si>
  <si>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</si>
  <si>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</si>
  <si>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</si>
  <si>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</si>
  <si>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</si>
  <si>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</si>
  <si>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</si>
  <si>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</si>
  <si>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</si>
  <si>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</si>
  <si>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</si>
  <si>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</si>
  <si>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</si>
  <si>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</si>
  <si>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</si>
  <si>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</si>
  <si>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</si>
  <si>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</si>
  <si>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</si>
  <si>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</si>
  <si>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</si>
  <si>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</si>
  <si>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</si>
  <si>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</si>
  <si>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</si>
  <si>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</si>
  <si>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</si>
  <si>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</si>
  <si>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</si>
  <si>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</si>
  <si>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</si>
  <si>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</si>
  <si>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</si>
  <si>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</si>
  <si>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</si>
  <si>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</si>
  <si>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</si>
  <si>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</si>
  <si>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</si>
  <si>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</si>
  <si>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</si>
  <si>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</si>
  <si>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</si>
  <si>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</si>
  <si>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</si>
  <si>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</si>
  <si>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</si>
  <si>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</si>
  <si>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</si>
  <si>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</si>
  <si>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</si>
  <si>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</si>
  <si>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</si>
  <si>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</si>
  <si>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</si>
  <si>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</si>
  <si>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</si>
  <si>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</si>
  <si>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</si>
  <si>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</si>
  <si>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</si>
  <si>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</si>
  <si>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</si>
  <si>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</si>
  <si>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</si>
  <si>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</si>
  <si>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</si>
  <si>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</si>
  <si>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</si>
  <si>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</si>
  <si>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</si>
  <si>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</si>
  <si>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</si>
  <si>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</si>
  <si>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</si>
  <si>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</si>
  <si>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</si>
  <si>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</si>
  <si>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</si>
  <si>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</si>
  <si>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</si>
  <si>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</si>
  <si>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</si>
  <si>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</si>
  <si>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</si>
  <si>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</si>
  <si>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</si>
  <si>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</si>
  <si>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</si>
  <si>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</si>
  <si>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</si>
  <si>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</si>
  <si>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</si>
  <si>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</si>
  <si>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</si>
  <si>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</si>
  <si>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</si>
  <si>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</si>
  <si>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</si>
  <si>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</si>
  <si>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</si>
  <si>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</si>
  <si>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</si>
  <si>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</si>
  <si>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</si>
  <si>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</si>
  <si>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</si>
  <si>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</si>
  <si>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</si>
  <si>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</si>
  <si>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</si>
  <si>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</si>
  <si>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</si>
  <si>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</si>
  <si>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</si>
  <si>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</si>
  <si>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</si>
  <si>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</si>
  <si>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</si>
  <si>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</si>
  <si>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</si>
  <si>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</si>
  <si>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</si>
  <si>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</si>
  <si>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</si>
  <si>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</si>
  <si>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</si>
  <si>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</si>
  <si>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</si>
  <si>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</si>
  <si>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</si>
  <si>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</si>
  <si>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</si>
  <si>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</si>
  <si>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</si>
  <si>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</si>
  <si>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</si>
  <si>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</si>
  <si>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</si>
  <si>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</si>
  <si>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</si>
  <si>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</si>
  <si>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</si>
  <si>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</si>
  <si>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</si>
  <si>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</si>
  <si>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</si>
  <si>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</si>
  <si>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</si>
  <si>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</si>
  <si>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</si>
  <si>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</si>
  <si>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</si>
  <si>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</si>
  <si>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</si>
  <si>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</si>
  <si>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</si>
  <si>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</si>
  <si>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</si>
  <si>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</si>
  <si>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</si>
  <si>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</si>
  <si>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</si>
  <si>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</si>
  <si>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</si>
  <si>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</si>
  <si>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</si>
  <si>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</si>
  <si>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</si>
  <si>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</si>
  <si>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</si>
  <si>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</si>
  <si>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</si>
  <si>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</si>
  <si>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</si>
  <si>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</si>
  <si>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</si>
  <si>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</si>
  <si>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</si>
  <si>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</si>
  <si>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</si>
  <si>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</si>
  <si>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</si>
  <si>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</si>
  <si>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</si>
  <si>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</si>
  <si>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</si>
  <si>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</si>
  <si>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</si>
  <si>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</si>
  <si>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</si>
  <si>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</si>
  <si>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</si>
  <si>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</si>
  <si>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</si>
  <si>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</si>
  <si>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</si>
  <si>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</si>
  <si>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</si>
  <si>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</si>
  <si>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</si>
  <si>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</si>
  <si>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</si>
  <si>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</si>
  <si>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</si>
  <si>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</si>
  <si>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</si>
  <si>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</si>
  <si>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</si>
  <si>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</si>
  <si>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</si>
  <si>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</si>
  <si>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</si>
  <si>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</si>
  <si>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</si>
  <si>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</si>
  <si>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</si>
  <si>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</si>
  <si>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</si>
  <si>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</si>
  <si>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</si>
  <si>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</si>
  <si>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</si>
  <si>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</si>
  <si>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</si>
  <si>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</si>
  <si>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</si>
  <si>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</si>
  <si>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</si>
  <si>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</si>
  <si>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</si>
  <si>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</si>
  <si>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</si>
  <si>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</si>
  <si>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</si>
  <si>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</si>
  <si>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</si>
  <si>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</si>
  <si>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</si>
  <si>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</si>
  <si>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</si>
  <si>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</si>
  <si>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</si>
  <si>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</si>
  <si>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</si>
  <si>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</si>
  <si>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</si>
  <si>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</si>
  <si>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</si>
  <si>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</si>
  <si>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</si>
  <si>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</si>
  <si>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</si>
  <si>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</si>
  <si>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</si>
  <si>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</si>
  <si>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</si>
  <si>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</si>
  <si>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</si>
  <si>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</si>
  <si>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</si>
  <si>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</si>
  <si>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</si>
  <si>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</si>
  <si>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</si>
  <si>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</si>
  <si>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</si>
  <si>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</si>
  <si>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</si>
  <si>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</si>
  <si>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</si>
  <si>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</si>
  <si>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</si>
  <si>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</si>
  <si>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</si>
  <si>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</si>
  <si>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</si>
  <si>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</si>
  <si>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</si>
  <si>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</si>
  <si>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</si>
  <si>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</si>
  <si>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</si>
  <si>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</si>
  <si>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</si>
  <si>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</si>
  <si>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</si>
  <si>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</si>
  <si>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</si>
  <si>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</si>
  <si>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</si>
  <si>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</si>
  <si>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</si>
  <si>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</si>
  <si>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</si>
  <si>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</si>
  <si>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</si>
  <si>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</si>
  <si>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</si>
  <si>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</si>
  <si>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</si>
  <si>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</si>
  <si>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</si>
  <si>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</si>
  <si>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</si>
  <si>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</si>
  <si>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</si>
  <si>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</si>
  <si>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</si>
  <si>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</si>
  <si>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</si>
  <si>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</si>
  <si>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</si>
  <si>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</si>
  <si>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</si>
  <si>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</si>
  <si>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</si>
  <si>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</si>
  <si>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</si>
  <si>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</si>
  <si>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</si>
  <si>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</si>
  <si>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</si>
  <si>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</si>
  <si>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</si>
  <si>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</si>
  <si>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</si>
  <si>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</si>
  <si>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</si>
  <si>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</si>
  <si>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</si>
  <si>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</si>
  <si>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</si>
  <si>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</si>
  <si>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</si>
  <si>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</si>
  <si>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</si>
  <si>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</si>
  <si>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</si>
  <si>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</si>
  <si>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</si>
  <si>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</si>
  <si>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</si>
  <si>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</si>
  <si>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</si>
  <si>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</si>
  <si>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</si>
  <si>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</si>
  <si>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</si>
  <si>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</si>
  <si>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</si>
  <si>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</si>
  <si>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</si>
  <si>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</si>
  <si>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</si>
  <si>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</si>
  <si>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</si>
  <si>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</si>
  <si>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</si>
  <si>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</si>
  <si>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</si>
  <si>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</si>
  <si>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</si>
  <si>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</si>
  <si>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</si>
  <si>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</si>
  <si>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</si>
  <si>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</si>
  <si>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</si>
  <si>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</si>
  <si>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</si>
  <si>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</si>
  <si>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</si>
  <si>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</si>
  <si>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</si>
  <si>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</si>
  <si>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</si>
  <si>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</si>
  <si>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</si>
  <si>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</si>
  <si>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</si>
  <si>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</si>
  <si>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</si>
  <si>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</si>
  <si>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</si>
  <si>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</si>
  <si>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</si>
  <si>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</si>
  <si>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</si>
  <si>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</si>
  <si>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</si>
  <si>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</si>
  <si>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</si>
  <si>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</si>
  <si>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</si>
  <si>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</si>
  <si>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</si>
  <si>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</si>
  <si>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</si>
  <si>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</si>
  <si>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</si>
  <si>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</si>
  <si>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</si>
  <si>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</si>
  <si>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</si>
  <si>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</si>
  <si>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</si>
  <si>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</si>
  <si>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</si>
  <si>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</si>
  <si>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</si>
  <si>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</si>
  <si>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</si>
  <si>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</si>
  <si>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</si>
  <si>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</si>
  <si>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</si>
  <si>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</si>
  <si>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</si>
  <si>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</si>
  <si>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</si>
  <si>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</si>
  <si>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</si>
  <si>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</si>
  <si>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</si>
  <si>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</si>
  <si>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</si>
  <si>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</si>
  <si>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</si>
  <si>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</si>
  <si>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</si>
  <si>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</si>
  <si>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</si>
  <si>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</si>
  <si>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</si>
  <si>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</si>
  <si>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</si>
  <si>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</si>
  <si>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</si>
  <si>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</si>
  <si>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</si>
  <si>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</si>
  <si>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</si>
  <si>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</si>
  <si>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</si>
  <si>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</si>
  <si>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</si>
  <si>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</si>
  <si>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</si>
  <si>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</si>
  <si>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</si>
  <si>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</si>
  <si>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</si>
  <si>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</si>
  <si>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</si>
  <si>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</si>
  <si>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</si>
  <si>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</si>
  <si>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</si>
  <si>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</si>
  <si>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</si>
  <si>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</si>
  <si>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</si>
  <si>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</si>
  <si>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</si>
  <si>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</si>
  <si>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</si>
  <si>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</si>
  <si>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DC unit/ tiny AC</t>
  </si>
  <si>
    <t>3.3 lpm ZW280</t>
  </si>
  <si>
    <t>1.5x Na-X + 0.5x Li-X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</si>
  <si>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</si>
  <si>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</si>
  <si>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</si>
  <si>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</si>
  <si>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</si>
  <si>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</si>
  <si>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</si>
  <si>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</si>
  <si>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</si>
  <si>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</si>
  <si>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</si>
  <si>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</si>
  <si>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</si>
  <si>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</si>
  <si>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</si>
  <si>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</si>
  <si>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</si>
  <si>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</si>
  <si>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</si>
  <si>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</si>
  <si>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</si>
  <si>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</si>
  <si>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</si>
  <si>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</si>
  <si>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</si>
  <si>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</si>
  <si>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</si>
  <si>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</si>
  <si>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</si>
  <si>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</si>
  <si>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</si>
  <si>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</si>
  <si>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</si>
  <si>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</si>
  <si>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</si>
  <si>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</si>
  <si>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</si>
  <si>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</si>
  <si>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</si>
  <si>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</si>
  <si>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</si>
  <si>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</si>
  <si>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</si>
  <si>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</si>
  <si>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</si>
  <si>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</si>
  <si>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</si>
  <si>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</si>
  <si>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</si>
  <si>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</si>
  <si>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</si>
  <si>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</si>
  <si>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</si>
  <si>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</si>
  <si>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</si>
  <si>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</si>
  <si>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</si>
  <si>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</si>
  <si>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</si>
  <si>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</si>
  <si>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</si>
  <si>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</si>
  <si>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</si>
  <si>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</si>
  <si>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</si>
  <si>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</si>
  <si>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</si>
  <si>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</si>
  <si>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</si>
  <si>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</si>
  <si>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</si>
  <si>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</si>
  <si>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</si>
  <si>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</si>
  <si>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</si>
  <si>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</si>
  <si>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</si>
  <si>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</si>
  <si>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</si>
  <si>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</si>
  <si>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</si>
  <si>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</si>
  <si>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</si>
  <si>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</si>
  <si>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</si>
  <si>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</si>
  <si>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</si>
  <si>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</si>
  <si>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</si>
  <si>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</si>
  <si>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</si>
  <si>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</si>
  <si>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</si>
  <si>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</si>
  <si>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</si>
  <si>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</si>
  <si>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</si>
  <si>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</si>
  <si>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</si>
  <si>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</si>
  <si>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</si>
  <si>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</si>
  <si>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</si>
  <si>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</si>
  <si>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</si>
  <si>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</si>
  <si>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</si>
  <si>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</si>
  <si>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</si>
  <si>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</si>
  <si>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</si>
  <si>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</si>
  <si>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</si>
  <si>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</si>
  <si>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</si>
  <si>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</si>
  <si>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</si>
  <si>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</si>
  <si>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</si>
  <si>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</si>
  <si>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</si>
  <si>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</si>
  <si>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</si>
  <si>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</si>
  <si>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</si>
  <si>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</si>
  <si>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</si>
  <si>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</si>
  <si>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</si>
  <si>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</si>
  <si>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</si>
  <si>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</si>
  <si>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</si>
  <si>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</si>
  <si>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</si>
  <si>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</si>
  <si>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</si>
  <si>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</si>
  <si>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</si>
  <si>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</si>
  <si>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</si>
  <si>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</si>
  <si>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</si>
  <si>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</si>
  <si>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</si>
  <si>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</si>
  <si>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</si>
  <si>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</si>
  <si>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</si>
  <si>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</si>
  <si>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</si>
  <si>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</si>
  <si>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</si>
  <si>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</si>
  <si>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</si>
  <si>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</si>
  <si>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</si>
  <si>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</si>
  <si>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</si>
  <si>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</si>
  <si>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</si>
  <si>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</si>
  <si>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</si>
  <si>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</si>
  <si>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</si>
  <si>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</si>
  <si>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</si>
  <si>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</si>
  <si>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</si>
  <si>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</si>
  <si>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</si>
  <si>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</si>
  <si>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</si>
  <si>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</si>
  <si>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</si>
  <si>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</si>
  <si>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</si>
  <si>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</si>
  <si>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</si>
  <si>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</si>
  <si>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VPSA</t>
  </si>
  <si>
    <t>big p 1:3</t>
  </si>
  <si>
    <t>30 row exchanger</t>
  </si>
  <si>
    <t>40 row exchanger</t>
  </si>
  <si>
    <t>O2 Backpressure regulator</t>
  </si>
  <si>
    <t>Sentry</t>
  </si>
  <si>
    <t>Tesco -501</t>
  </si>
  <si>
    <t>Conoflow</t>
  </si>
  <si>
    <t>Generant</t>
  </si>
  <si>
    <t>disp</t>
  </si>
  <si>
    <t>rpm</t>
  </si>
  <si>
    <t>Demo 20-30 lpm @550W</t>
  </si>
  <si>
    <t>Demo 50-60 lpm @1100W</t>
  </si>
  <si>
    <t>Demo U-tube 3/4 HP + AMR</t>
  </si>
  <si>
    <t>carryover</t>
  </si>
  <si>
    <t>output duty</t>
  </si>
  <si>
    <t>output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</si>
</sst>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4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13" borderId="18" xfId="0" applyNumberFormat="1" applyFill="1" applyBorder="1" applyAlignment="1">
      <alignment horizontal="center"/>
    </xf>
    <xf numFmtId="9" fontId="0" fillId="0" borderId="0" xfId="0" applyNumberFormat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8"/>
  <sheetViews>
    <sheetView tabSelected="1" topLeftCell="I35" zoomScale="114" workbookViewId="0">
      <selection activeCell="W61" sqref="W61"/>
    </sheetView>
  </sheetViews>
  <sheetFormatPr baseColWidth="10" defaultRowHeight="16" x14ac:dyDescent="0.2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 x14ac:dyDescent="0.2">
      <c r="C2" s="3" t="s">
        <v>731</v>
      </c>
      <c r="D2" s="3" t="s">
        <v>727</v>
      </c>
      <c r="E2" s="3">
        <v>3.95</v>
      </c>
      <c r="J2">
        <v>0.63</v>
      </c>
      <c r="K2" t="s">
        <v>697</v>
      </c>
    </row>
    <row r="3" spans="3:16" x14ac:dyDescent="0.2">
      <c r="C3" s="3" t="s">
        <v>730</v>
      </c>
      <c r="D3" s="3" t="s">
        <v>726</v>
      </c>
      <c r="E3" s="3">
        <v>0.7</v>
      </c>
      <c r="J3">
        <v>0.64</v>
      </c>
      <c r="K3" t="s">
        <v>3</v>
      </c>
    </row>
    <row r="4" spans="3:16" x14ac:dyDescent="0.2">
      <c r="C4" s="3" t="s">
        <v>729</v>
      </c>
      <c r="D4" s="3" t="s">
        <v>728</v>
      </c>
      <c r="E4" s="3">
        <v>0.63</v>
      </c>
      <c r="G4" s="3" t="s">
        <v>700</v>
      </c>
      <c r="H4">
        <v>0.63</v>
      </c>
      <c r="I4" t="s">
        <v>4</v>
      </c>
      <c r="J4">
        <v>0.79</v>
      </c>
      <c r="K4" s="4" t="s">
        <v>8</v>
      </c>
    </row>
    <row r="6" spans="3:16" x14ac:dyDescent="0.2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737</v>
      </c>
    </row>
    <row r="7" spans="3:16" x14ac:dyDescent="0.2">
      <c r="O7">
        <v>2.5</v>
      </c>
      <c r="P7">
        <v>10</v>
      </c>
    </row>
    <row r="8" spans="3:16" x14ac:dyDescent="0.2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787</v>
      </c>
      <c r="M8" s="1">
        <f>G8*(1-O$34)</f>
        <v>8.6963030621854495E-2</v>
      </c>
      <c r="O8" s="1">
        <f>J18/O7</f>
        <v>1.3891805980191367</v>
      </c>
      <c r="P8" s="1">
        <f>P7*O8</f>
        <v>13.891805980191368</v>
      </c>
    </row>
    <row r="9" spans="3:16" x14ac:dyDescent="0.2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 x14ac:dyDescent="0.2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788</v>
      </c>
      <c r="M10" s="1">
        <f t="shared" si="2"/>
        <v>0.18117298046219685</v>
      </c>
    </row>
    <row r="11" spans="3:16" x14ac:dyDescent="0.2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 x14ac:dyDescent="0.2">
      <c r="E12" s="1"/>
      <c r="I12" s="1"/>
      <c r="M12" s="1"/>
    </row>
    <row r="13" spans="3:16" x14ac:dyDescent="0.2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 x14ac:dyDescent="0.2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786</v>
      </c>
      <c r="M14" s="1">
        <f t="shared" si="2"/>
        <v>0.27061631156227189</v>
      </c>
    </row>
    <row r="15" spans="3:16" x14ac:dyDescent="0.2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 x14ac:dyDescent="0.2">
      <c r="E16" s="1"/>
      <c r="I16" s="1"/>
      <c r="M16" s="1"/>
    </row>
    <row r="17" spans="3:18" x14ac:dyDescent="0.2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698</v>
      </c>
      <c r="M17" s="1">
        <f t="shared" si="2"/>
        <v>0.63607170238971467</v>
      </c>
      <c r="O17">
        <v>1000</v>
      </c>
      <c r="P17" t="s">
        <v>291</v>
      </c>
    </row>
    <row r="18" spans="3:18" x14ac:dyDescent="0.2">
      <c r="C18" s="26">
        <v>2.87</v>
      </c>
      <c r="D18" s="26">
        <v>26</v>
      </c>
      <c r="E18" s="28">
        <f t="shared" si="8"/>
        <v>7.2898000000000005</v>
      </c>
      <c r="F18" s="26">
        <f t="shared" si="8"/>
        <v>66.040000000000006</v>
      </c>
      <c r="G18" s="27">
        <f>PI() * (E18/2)^2 * F18 /1000</f>
        <v>2.7563107103554301</v>
      </c>
      <c r="H18" s="26">
        <v>2</v>
      </c>
      <c r="I18" s="28">
        <f>G18*H$4</f>
        <v>1.736475747523921</v>
      </c>
      <c r="J18" s="28">
        <f>H18*I18</f>
        <v>3.472951495047842</v>
      </c>
      <c r="K18" s="28">
        <f>J18*2.2</f>
        <v>7.6404932891052528</v>
      </c>
      <c r="L18" s="109" t="s">
        <v>699</v>
      </c>
      <c r="M18" s="1">
        <f t="shared" si="2"/>
        <v>0.82689321310662911</v>
      </c>
    </row>
    <row r="19" spans="3:18" x14ac:dyDescent="0.2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 x14ac:dyDescent="0.2">
      <c r="E20" s="1"/>
      <c r="I20" s="1"/>
      <c r="M20" s="1"/>
      <c r="O20" s="2">
        <f>O19/O15*O17</f>
        <v>13.888888888888888</v>
      </c>
      <c r="P20" t="s">
        <v>17</v>
      </c>
    </row>
    <row r="21" spans="3:18" x14ac:dyDescent="0.2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 x14ac:dyDescent="0.2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 x14ac:dyDescent="0.2">
      <c r="E23" s="1"/>
      <c r="I23" s="1"/>
      <c r="M23" s="1"/>
    </row>
    <row r="24" spans="3:18" x14ac:dyDescent="0.2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 x14ac:dyDescent="0.2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 x14ac:dyDescent="0.2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 x14ac:dyDescent="0.2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827</v>
      </c>
      <c r="R27" t="s">
        <v>826</v>
      </c>
    </row>
    <row r="28" spans="3:18" x14ac:dyDescent="0.2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828</v>
      </c>
    </row>
    <row r="29" spans="3:18" x14ac:dyDescent="0.2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701</v>
      </c>
      <c r="O29" s="21">
        <f>O26*(O27-O28)/100</f>
        <v>0.9</v>
      </c>
      <c r="P29" t="s">
        <v>355</v>
      </c>
    </row>
    <row r="30" spans="3:18" x14ac:dyDescent="0.2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 x14ac:dyDescent="0.2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 x14ac:dyDescent="0.2">
      <c r="E32" s="1"/>
      <c r="M32" s="1"/>
      <c r="N32" s="23"/>
      <c r="O32" s="3"/>
    </row>
    <row r="33" spans="3:21" x14ac:dyDescent="0.2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21" x14ac:dyDescent="0.2">
      <c r="M34" s="1"/>
      <c r="N34" s="23" t="s">
        <v>736</v>
      </c>
      <c r="O34" s="3">
        <v>0.7</v>
      </c>
    </row>
    <row r="35" spans="3:21" x14ac:dyDescent="0.2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851</v>
      </c>
      <c r="M35" s="1"/>
    </row>
    <row r="36" spans="3:21" x14ac:dyDescent="0.2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1" x14ac:dyDescent="0.2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784</v>
      </c>
    </row>
    <row r="38" spans="3:21" ht="17" thickBot="1" x14ac:dyDescent="0.25"/>
    <row r="39" spans="3:21" x14ac:dyDescent="0.2">
      <c r="O39" s="47" t="s">
        <v>844</v>
      </c>
      <c r="P39" s="48"/>
      <c r="Q39" s="48"/>
      <c r="R39" s="126"/>
      <c r="S39" s="127" t="s">
        <v>1006</v>
      </c>
      <c r="U39" s="126"/>
    </row>
    <row r="40" spans="3:21" x14ac:dyDescent="0.2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785</v>
      </c>
      <c r="N40" s="3" t="s">
        <v>838</v>
      </c>
      <c r="O40" s="128">
        <v>0.09</v>
      </c>
      <c r="P40" s="94">
        <v>0.09</v>
      </c>
      <c r="Q40" s="94">
        <v>0.09</v>
      </c>
      <c r="R40" s="129">
        <v>0.09</v>
      </c>
      <c r="S40" s="130">
        <v>0.05</v>
      </c>
      <c r="T40" t="s">
        <v>835</v>
      </c>
      <c r="U40" s="129">
        <v>0.09</v>
      </c>
    </row>
    <row r="41" spans="3:21" x14ac:dyDescent="0.2">
      <c r="O41" s="128">
        <v>0.96499999999999997</v>
      </c>
      <c r="P41" s="94">
        <v>0.96499999999999997</v>
      </c>
      <c r="Q41" s="94">
        <v>0.96499999999999997</v>
      </c>
      <c r="R41" s="129">
        <v>0.96499999999999997</v>
      </c>
      <c r="S41" s="130">
        <v>0.505</v>
      </c>
      <c r="T41" t="s">
        <v>836</v>
      </c>
      <c r="U41" s="129">
        <v>0.96499999999999997</v>
      </c>
    </row>
    <row r="42" spans="3:21" x14ac:dyDescent="0.2">
      <c r="O42" s="128">
        <v>2.5</v>
      </c>
      <c r="P42" s="94">
        <v>2.5</v>
      </c>
      <c r="Q42" s="94">
        <v>2.5</v>
      </c>
      <c r="R42" s="129">
        <v>2.5</v>
      </c>
      <c r="S42" s="130">
        <v>2.5</v>
      </c>
      <c r="T42" t="s">
        <v>837</v>
      </c>
      <c r="U42" s="129">
        <v>3</v>
      </c>
    </row>
    <row r="43" spans="3:21" x14ac:dyDescent="0.2">
      <c r="C43">
        <v>4.87</v>
      </c>
      <c r="D43">
        <v>36.5</v>
      </c>
      <c r="E43" s="1">
        <f t="shared" ref="E43" si="22">C43*2.54</f>
        <v>12.3698</v>
      </c>
      <c r="F43">
        <f t="shared" ref="F43" si="23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28"/>
      <c r="P43" s="94"/>
      <c r="Q43" s="94"/>
      <c r="R43" s="129"/>
      <c r="S43" s="130"/>
      <c r="U43" s="129"/>
    </row>
    <row r="44" spans="3:21" x14ac:dyDescent="0.2">
      <c r="N44" s="3" t="s">
        <v>377</v>
      </c>
      <c r="O44" s="131">
        <f t="shared" ref="O44:S46" si="24">O40*2.54</f>
        <v>0.2286</v>
      </c>
      <c r="P44" s="100">
        <f t="shared" si="24"/>
        <v>0.2286</v>
      </c>
      <c r="Q44" s="100">
        <f t="shared" si="24"/>
        <v>0.2286</v>
      </c>
      <c r="R44" s="132">
        <f t="shared" si="24"/>
        <v>0.2286</v>
      </c>
      <c r="S44" s="133">
        <f t="shared" si="24"/>
        <v>0.127</v>
      </c>
      <c r="T44" t="s">
        <v>835</v>
      </c>
      <c r="U44" s="132">
        <f t="shared" ref="U44" si="25">U40*2.54</f>
        <v>0.2286</v>
      </c>
    </row>
    <row r="45" spans="3:21" x14ac:dyDescent="0.2">
      <c r="O45" s="131">
        <f t="shared" si="24"/>
        <v>2.4510999999999998</v>
      </c>
      <c r="P45" s="100">
        <f t="shared" si="24"/>
        <v>2.4510999999999998</v>
      </c>
      <c r="Q45" s="100">
        <f t="shared" si="24"/>
        <v>2.4510999999999998</v>
      </c>
      <c r="R45" s="132">
        <f t="shared" si="24"/>
        <v>2.4510999999999998</v>
      </c>
      <c r="S45" s="133">
        <f t="shared" si="24"/>
        <v>1.2827</v>
      </c>
      <c r="T45" t="s">
        <v>836</v>
      </c>
      <c r="U45" s="132">
        <f t="shared" ref="U45" si="26">U41*2.54</f>
        <v>2.4510999999999998</v>
      </c>
    </row>
    <row r="46" spans="3:21" x14ac:dyDescent="0.2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829</v>
      </c>
      <c r="O46" s="131">
        <f t="shared" si="24"/>
        <v>6.35</v>
      </c>
      <c r="P46" s="100">
        <f t="shared" si="24"/>
        <v>6.35</v>
      </c>
      <c r="Q46" s="100">
        <f t="shared" si="24"/>
        <v>6.35</v>
      </c>
      <c r="R46" s="132">
        <f t="shared" si="24"/>
        <v>6.35</v>
      </c>
      <c r="S46" s="133">
        <f t="shared" si="24"/>
        <v>6.35</v>
      </c>
      <c r="T46" t="s">
        <v>837</v>
      </c>
      <c r="U46" s="132">
        <f t="shared" ref="U46" si="27">U42*2.54</f>
        <v>7.62</v>
      </c>
    </row>
    <row r="47" spans="3:21" x14ac:dyDescent="0.2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830</v>
      </c>
      <c r="O47" s="128"/>
      <c r="P47" s="94"/>
      <c r="Q47" s="94"/>
      <c r="R47" s="129"/>
      <c r="S47" s="130"/>
      <c r="U47" s="129"/>
    </row>
    <row r="48" spans="3:21" x14ac:dyDescent="0.2">
      <c r="N48" t="s">
        <v>839</v>
      </c>
      <c r="O48" s="131">
        <f>O45-O44</f>
        <v>2.2224999999999997</v>
      </c>
      <c r="P48" s="100">
        <f>P45-P44</f>
        <v>2.2224999999999997</v>
      </c>
      <c r="Q48" s="100">
        <f>Q45-Q44</f>
        <v>2.2224999999999997</v>
      </c>
      <c r="R48" s="132">
        <f>R45-R44</f>
        <v>2.2224999999999997</v>
      </c>
      <c r="S48" s="133">
        <f>S45-S44</f>
        <v>1.1556999999999999</v>
      </c>
      <c r="T48" t="s">
        <v>377</v>
      </c>
      <c r="U48" s="132">
        <f>U45-U44</f>
        <v>2.2224999999999997</v>
      </c>
    </row>
    <row r="49" spans="3:21" x14ac:dyDescent="0.2">
      <c r="N49" t="s">
        <v>383</v>
      </c>
      <c r="O49" s="131">
        <f>PI() * (O46/2) ^2</f>
        <v>31.669217443593606</v>
      </c>
      <c r="P49" s="100">
        <f>PI() * (P46/2) ^2</f>
        <v>31.669217443593606</v>
      </c>
      <c r="Q49" s="100">
        <f>PI() * (Q46/2) ^2</f>
        <v>31.669217443593606</v>
      </c>
      <c r="R49" s="132">
        <f>PI() * (R46/2) ^2</f>
        <v>31.669217443593606</v>
      </c>
      <c r="S49" s="133">
        <f>PI() * (S46/2) ^2</f>
        <v>31.669217443593606</v>
      </c>
      <c r="T49" t="s">
        <v>378</v>
      </c>
      <c r="U49" s="132">
        <f>PI() * (U46/2) ^2</f>
        <v>45.603673118774793</v>
      </c>
    </row>
    <row r="50" spans="3:21" x14ac:dyDescent="0.2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834</v>
      </c>
      <c r="N50" t="s">
        <v>840</v>
      </c>
      <c r="O50" s="131">
        <f>O48*O49</f>
        <v>70.384835768386779</v>
      </c>
      <c r="P50" s="100">
        <f>P48*P49</f>
        <v>70.384835768386779</v>
      </c>
      <c r="Q50" s="100">
        <f>Q48*Q49</f>
        <v>70.384835768386779</v>
      </c>
      <c r="R50" s="132">
        <f>R48*R49</f>
        <v>70.384835768386779</v>
      </c>
      <c r="S50" s="133">
        <f>S48*S49</f>
        <v>36.600114599561131</v>
      </c>
      <c r="T50" t="s">
        <v>841</v>
      </c>
      <c r="U50" s="132">
        <f>U48*U49</f>
        <v>101.35416350647697</v>
      </c>
    </row>
    <row r="51" spans="3:21" x14ac:dyDescent="0.2">
      <c r="O51" s="128"/>
      <c r="P51" s="94"/>
      <c r="Q51" s="94"/>
      <c r="R51" s="129"/>
      <c r="S51" s="130"/>
      <c r="U51" s="129"/>
    </row>
    <row r="52" spans="3:21" x14ac:dyDescent="0.2">
      <c r="N52" t="s">
        <v>842</v>
      </c>
      <c r="O52" s="128">
        <v>2</v>
      </c>
      <c r="P52" s="94">
        <v>2</v>
      </c>
      <c r="Q52" s="94">
        <v>2</v>
      </c>
      <c r="R52" s="129">
        <v>4</v>
      </c>
      <c r="S52" s="130">
        <v>2</v>
      </c>
      <c r="U52" s="129">
        <v>4</v>
      </c>
    </row>
    <row r="53" spans="3:21" x14ac:dyDescent="0.2">
      <c r="C53" s="26">
        <v>1.38</v>
      </c>
      <c r="D53" s="26">
        <v>18</v>
      </c>
      <c r="E53" s="28">
        <f t="shared" ref="E53:F56" si="28">C53*2.54</f>
        <v>3.5051999999999999</v>
      </c>
      <c r="F53" s="26">
        <f t="shared" si="28"/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846</v>
      </c>
      <c r="O53" s="128"/>
      <c r="P53" s="94"/>
      <c r="Q53" s="94"/>
      <c r="R53" s="129"/>
      <c r="S53" s="130"/>
      <c r="U53" s="129"/>
    </row>
    <row r="54" spans="3:21" x14ac:dyDescent="0.2">
      <c r="C54" s="26">
        <v>1.61</v>
      </c>
      <c r="D54" s="26">
        <v>18</v>
      </c>
      <c r="E54" s="28">
        <f t="shared" si="28"/>
        <v>4.0894000000000004</v>
      </c>
      <c r="F54" s="26">
        <f t="shared" si="28"/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847</v>
      </c>
      <c r="N54" t="s">
        <v>843</v>
      </c>
      <c r="O54" s="128">
        <v>1400</v>
      </c>
      <c r="P54" s="94">
        <v>1680</v>
      </c>
      <c r="Q54" s="94">
        <v>2000</v>
      </c>
      <c r="R54" s="129">
        <v>1100</v>
      </c>
      <c r="S54" s="130">
        <v>1680</v>
      </c>
      <c r="T54" t="s">
        <v>845</v>
      </c>
      <c r="U54" s="129">
        <v>1700</v>
      </c>
    </row>
    <row r="55" spans="3:21" x14ac:dyDescent="0.2">
      <c r="C55" s="26">
        <v>2.0670000000000002</v>
      </c>
      <c r="D55" s="26">
        <v>10</v>
      </c>
      <c r="E55" s="28">
        <f t="shared" si="28"/>
        <v>5.2501800000000003</v>
      </c>
      <c r="F55" s="26">
        <f t="shared" si="28"/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848</v>
      </c>
      <c r="O55" s="128"/>
      <c r="P55" s="94"/>
      <c r="Q55" s="94"/>
      <c r="R55" s="129"/>
      <c r="S55" s="130"/>
      <c r="U55" s="129"/>
    </row>
    <row r="56" spans="3:21" x14ac:dyDescent="0.2">
      <c r="C56" s="26">
        <v>2.0670000000000002</v>
      </c>
      <c r="D56" s="26">
        <v>6</v>
      </c>
      <c r="E56" s="28">
        <f t="shared" si="28"/>
        <v>5.2501800000000003</v>
      </c>
      <c r="F56" s="26">
        <f t="shared" si="28"/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850</v>
      </c>
      <c r="O56" s="131">
        <f>O54*O52*O50/1000</f>
        <v>197.07754015148296</v>
      </c>
      <c r="P56" s="100">
        <f>P54*P52*P50/1000</f>
        <v>236.49304818177956</v>
      </c>
      <c r="Q56" s="100">
        <f>Q54*Q52*Q50/1000</f>
        <v>281.53934307354712</v>
      </c>
      <c r="R56" s="132">
        <f>R54*R52*R50/1000</f>
        <v>309.69327738090186</v>
      </c>
      <c r="S56" s="133">
        <f>S54*S52*S50/1000</f>
        <v>122.97638505452539</v>
      </c>
      <c r="T56" t="s">
        <v>236</v>
      </c>
      <c r="U56" s="132">
        <f>U54*U52*U50/1000</f>
        <v>689.20831184404335</v>
      </c>
    </row>
    <row r="57" spans="3:21" x14ac:dyDescent="0.2">
      <c r="O57" s="128"/>
      <c r="P57" s="94"/>
      <c r="Q57" s="94"/>
      <c r="R57" s="129"/>
      <c r="S57" s="130"/>
      <c r="U57" s="129"/>
    </row>
    <row r="58" spans="3:21" x14ac:dyDescent="0.2">
      <c r="N58" t="s">
        <v>849</v>
      </c>
      <c r="O58" s="131">
        <f>O45/O44</f>
        <v>10.722222222222221</v>
      </c>
      <c r="P58" s="100">
        <f>P45/P44</f>
        <v>10.722222222222221</v>
      </c>
      <c r="Q58" s="100">
        <f>Q45/Q44</f>
        <v>10.722222222222221</v>
      </c>
      <c r="R58" s="132">
        <f>R45/R44</f>
        <v>10.722222222222221</v>
      </c>
      <c r="S58" s="133">
        <f>S45/S44</f>
        <v>10.1</v>
      </c>
      <c r="U58" s="132">
        <f>U45/U44</f>
        <v>10.722222222222221</v>
      </c>
    </row>
    <row r="59" spans="3:21" x14ac:dyDescent="0.2">
      <c r="N59" s="1"/>
      <c r="O59" s="131"/>
      <c r="P59" s="100"/>
      <c r="Q59" s="100"/>
      <c r="R59" s="129"/>
      <c r="S59" s="130"/>
      <c r="U59" s="129"/>
    </row>
    <row r="60" spans="3:21" ht="17" thickBot="1" x14ac:dyDescent="0.25">
      <c r="N60" s="1"/>
      <c r="O60" s="134">
        <f t="shared" ref="O60:R60" si="29">O56/28</f>
        <v>7.0384835768386775</v>
      </c>
      <c r="P60" s="95">
        <f t="shared" si="29"/>
        <v>8.446180292206412</v>
      </c>
      <c r="Q60" s="95">
        <f t="shared" si="29"/>
        <v>10.054976538340968</v>
      </c>
      <c r="R60" s="135">
        <f t="shared" si="29"/>
        <v>11.060474192175066</v>
      </c>
      <c r="S60" s="136">
        <f>S56/28</f>
        <v>4.3920137519473359</v>
      </c>
      <c r="T60" t="s">
        <v>1007</v>
      </c>
      <c r="U60" s="135">
        <f t="shared" ref="U60" si="30">U56/28</f>
        <v>24.61458256585869</v>
      </c>
    </row>
    <row r="61" spans="3:21" ht="17" thickBot="1" x14ac:dyDescent="0.25">
      <c r="C61" s="83" t="s">
        <v>876</v>
      </c>
      <c r="D61" s="84"/>
      <c r="F61" s="34" t="s">
        <v>854</v>
      </c>
      <c r="G61">
        <v>2</v>
      </c>
      <c r="H61">
        <v>2.5</v>
      </c>
      <c r="I61">
        <v>3</v>
      </c>
      <c r="J61">
        <v>4</v>
      </c>
      <c r="K61">
        <v>6</v>
      </c>
      <c r="O61" s="137">
        <f t="shared" ref="O61:R61" si="31">O60*0.8</f>
        <v>5.6307868614709422</v>
      </c>
      <c r="P61" s="138">
        <f t="shared" si="31"/>
        <v>6.7569442337651298</v>
      </c>
      <c r="Q61" s="138">
        <f t="shared" si="31"/>
        <v>8.0439812306727756</v>
      </c>
      <c r="R61" s="139">
        <f t="shared" si="31"/>
        <v>8.8483793537400537</v>
      </c>
      <c r="S61" s="140">
        <f>S60*0.8</f>
        <v>3.513611001557869</v>
      </c>
      <c r="T61" t="s">
        <v>1008</v>
      </c>
      <c r="U61" s="139">
        <f t="shared" ref="U61" si="32">U60*0.8</f>
        <v>19.691666052686955</v>
      </c>
    </row>
    <row r="62" spans="3:21" x14ac:dyDescent="0.2">
      <c r="C62" s="85" t="s">
        <v>873</v>
      </c>
      <c r="D62" s="86">
        <v>1.1000000000000001</v>
      </c>
      <c r="F62" t="s">
        <v>852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Q62" s="1"/>
    </row>
    <row r="63" spans="3:21" x14ac:dyDescent="0.2">
      <c r="C63" s="85" t="s">
        <v>874</v>
      </c>
      <c r="D63" s="86">
        <v>10</v>
      </c>
      <c r="F63" t="s">
        <v>853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N63" s="1" t="s">
        <v>890</v>
      </c>
      <c r="O63" s="1" t="s">
        <v>891</v>
      </c>
      <c r="P63" s="1" t="s">
        <v>886</v>
      </c>
      <c r="Q63" s="1"/>
    </row>
    <row r="64" spans="3:21" x14ac:dyDescent="0.2">
      <c r="C64" s="85" t="s">
        <v>875</v>
      </c>
      <c r="D64" s="86">
        <v>0.6</v>
      </c>
      <c r="F64" t="s">
        <v>856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863</v>
      </c>
      <c r="N64" s="2">
        <v>0.9</v>
      </c>
      <c r="O64" s="1">
        <v>0.9</v>
      </c>
      <c r="P64" s="1">
        <v>0.6</v>
      </c>
      <c r="Q64" s="1"/>
    </row>
    <row r="65" spans="2:21" ht="17" thickBot="1" x14ac:dyDescent="0.25">
      <c r="C65" s="87" t="s">
        <v>869</v>
      </c>
      <c r="D65" s="88">
        <f>D63/D62/D64</f>
        <v>15.15151515151515</v>
      </c>
      <c r="E65" t="s">
        <v>892</v>
      </c>
      <c r="F65" t="s">
        <v>857</v>
      </c>
      <c r="G65" s="29">
        <f>G63+(2*G64)</f>
        <v>177.07963267948966</v>
      </c>
      <c r="H65" s="29">
        <f t="shared" ref="H65:K65" si="33">H63+(2*H64)</f>
        <v>547.40042147019619</v>
      </c>
      <c r="I65" s="29">
        <f t="shared" si="33"/>
        <v>307.03537555513242</v>
      </c>
      <c r="J65" s="29">
        <f t="shared" si="33"/>
        <v>397.15704948832615</v>
      </c>
      <c r="K65" s="29">
        <f t="shared" si="33"/>
        <v>576.73557423248917</v>
      </c>
      <c r="M65" t="s">
        <v>861</v>
      </c>
      <c r="N65">
        <v>0.67</v>
      </c>
      <c r="O65" s="1">
        <v>1</v>
      </c>
      <c r="P65" s="1">
        <v>1</v>
      </c>
      <c r="Q65" s="1"/>
    </row>
    <row r="66" spans="2:21" x14ac:dyDescent="0.2">
      <c r="F66" t="s">
        <v>855</v>
      </c>
      <c r="G66" s="2">
        <f>G65/25.4</f>
        <v>6.9716390818696725</v>
      </c>
      <c r="H66" s="2">
        <v>14.5</v>
      </c>
      <c r="I66" s="2">
        <f t="shared" ref="I66:K66" si="34">I65/25.4</f>
        <v>12.088006911619388</v>
      </c>
      <c r="J66" s="2">
        <f t="shared" si="34"/>
        <v>15.636104310564022</v>
      </c>
      <c r="K66" s="2">
        <f t="shared" si="34"/>
        <v>22.706124969783041</v>
      </c>
    </row>
    <row r="68" spans="2:21" x14ac:dyDescent="0.2">
      <c r="M68" s="3" t="s">
        <v>529</v>
      </c>
      <c r="N68" s="3" t="s">
        <v>887</v>
      </c>
      <c r="O68" s="3" t="s">
        <v>1010</v>
      </c>
      <c r="P68" s="77" t="s">
        <v>1011</v>
      </c>
      <c r="Q68" s="3" t="s">
        <v>888</v>
      </c>
      <c r="R68" s="3" t="s">
        <v>1009</v>
      </c>
      <c r="S68" s="3" t="s">
        <v>1055</v>
      </c>
      <c r="T68" s="3" t="s">
        <v>889</v>
      </c>
    </row>
    <row r="69" spans="2:21" x14ac:dyDescent="0.2">
      <c r="H69" t="s">
        <v>863</v>
      </c>
      <c r="I69">
        <v>0.9</v>
      </c>
      <c r="J69" t="s">
        <v>871</v>
      </c>
      <c r="L69" s="110" t="s">
        <v>882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 x14ac:dyDescent="0.2">
      <c r="H70" t="s">
        <v>861</v>
      </c>
      <c r="I70">
        <v>0.5</v>
      </c>
      <c r="J70" t="s">
        <v>870</v>
      </c>
      <c r="L70" s="110" t="s">
        <v>881</v>
      </c>
      <c r="M70" s="5">
        <f t="shared" ref="M70:S70" si="35">M69*0.21*$I70*$I69</f>
        <v>2.835</v>
      </c>
      <c r="N70" s="5">
        <f t="shared" si="35"/>
        <v>7.0875000000000004</v>
      </c>
      <c r="O70" s="5">
        <f t="shared" si="35"/>
        <v>11.430720000000001</v>
      </c>
      <c r="P70" s="5">
        <f t="shared" si="35"/>
        <v>16.159499999999998</v>
      </c>
      <c r="Q70" s="5">
        <f t="shared" si="35"/>
        <v>15.120000000000001</v>
      </c>
      <c r="R70" s="5">
        <f t="shared" si="35"/>
        <v>18.144000000000002</v>
      </c>
      <c r="S70" s="5">
        <f>S69*0.21*$I70*$I69</f>
        <v>19.051200000000001</v>
      </c>
      <c r="T70" s="5">
        <f>T69*0.21*$I70*$I69</f>
        <v>22.226400000000002</v>
      </c>
      <c r="U70" t="s">
        <v>17</v>
      </c>
    </row>
    <row r="71" spans="2:21" x14ac:dyDescent="0.2">
      <c r="C71" s="3" t="s">
        <v>731</v>
      </c>
      <c r="D71" s="3" t="s">
        <v>727</v>
      </c>
      <c r="E71" s="3">
        <v>3.95</v>
      </c>
      <c r="F71" t="s">
        <v>867</v>
      </c>
      <c r="H71" t="s">
        <v>866</v>
      </c>
      <c r="I71" s="2">
        <f>D65</f>
        <v>15.15151515151515</v>
      </c>
      <c r="J71" t="s">
        <v>869</v>
      </c>
      <c r="L71" s="110" t="s">
        <v>883</v>
      </c>
      <c r="M71" s="21">
        <f t="shared" ref="M71:S71" si="36">M70/$I71/$I70</f>
        <v>0.37422</v>
      </c>
      <c r="N71" s="21">
        <f t="shared" si="36"/>
        <v>0.9355500000000001</v>
      </c>
      <c r="O71" s="21">
        <f t="shared" si="36"/>
        <v>1.5088550400000003</v>
      </c>
      <c r="P71" s="21">
        <f t="shared" si="36"/>
        <v>2.133054</v>
      </c>
      <c r="Q71" s="21">
        <f t="shared" si="36"/>
        <v>1.9958400000000003</v>
      </c>
      <c r="R71" s="21">
        <f t="shared" si="36"/>
        <v>2.3950080000000002</v>
      </c>
      <c r="S71" s="21">
        <f>S70/$I71/$I70</f>
        <v>2.5147584000000003</v>
      </c>
      <c r="T71" s="21">
        <f>T70/$I71/$I70</f>
        <v>2.9338848000000004</v>
      </c>
      <c r="U71" t="s">
        <v>5</v>
      </c>
    </row>
    <row r="72" spans="2:21" x14ac:dyDescent="0.2">
      <c r="C72" s="3" t="s">
        <v>730</v>
      </c>
      <c r="D72" s="3" t="s">
        <v>726</v>
      </c>
      <c r="E72" s="3">
        <v>0.7</v>
      </c>
      <c r="H72" t="s">
        <v>860</v>
      </c>
      <c r="I72">
        <v>0.8</v>
      </c>
      <c r="J72" t="s">
        <v>868</v>
      </c>
      <c r="L72" s="110" t="s">
        <v>884</v>
      </c>
      <c r="M72" s="21">
        <f t="shared" ref="M72:R73" si="37">M71/$I72</f>
        <v>0.467775</v>
      </c>
      <c r="N72" s="21">
        <f t="shared" si="37"/>
        <v>1.1694375000000001</v>
      </c>
      <c r="O72" s="21">
        <f t="shared" si="37"/>
        <v>1.8860688000000003</v>
      </c>
      <c r="P72" s="21">
        <f t="shared" si="37"/>
        <v>2.6663174999999999</v>
      </c>
      <c r="Q72" s="21">
        <f t="shared" si="37"/>
        <v>2.4948000000000001</v>
      </c>
      <c r="R72" s="21">
        <f t="shared" si="37"/>
        <v>2.99376</v>
      </c>
      <c r="S72" s="21">
        <f>S71/$I72</f>
        <v>3.1434480000000002</v>
      </c>
      <c r="T72" s="21">
        <f>T71/$I72</f>
        <v>3.6673560000000003</v>
      </c>
      <c r="U72" t="s">
        <v>5</v>
      </c>
    </row>
    <row r="73" spans="2:21" x14ac:dyDescent="0.2">
      <c r="C73" s="3" t="s">
        <v>729</v>
      </c>
      <c r="D73" s="3" t="s">
        <v>728</v>
      </c>
      <c r="E73" s="3">
        <v>0.63</v>
      </c>
      <c r="H73" s="3" t="s">
        <v>700</v>
      </c>
      <c r="I73">
        <v>0.63</v>
      </c>
      <c r="J73" t="s">
        <v>867</v>
      </c>
      <c r="L73" s="110" t="s">
        <v>885</v>
      </c>
      <c r="M73" s="21">
        <f t="shared" si="37"/>
        <v>0.74249999999999994</v>
      </c>
      <c r="N73" s="21">
        <f t="shared" si="37"/>
        <v>1.8562500000000002</v>
      </c>
      <c r="O73" s="21">
        <f t="shared" si="37"/>
        <v>2.9937600000000004</v>
      </c>
      <c r="P73" s="21">
        <f t="shared" si="37"/>
        <v>4.2322499999999996</v>
      </c>
      <c r="Q73" s="21">
        <f t="shared" si="37"/>
        <v>3.96</v>
      </c>
      <c r="R73" s="21">
        <f t="shared" si="37"/>
        <v>4.7519999999999998</v>
      </c>
      <c r="S73" s="21">
        <f>S72/$I73</f>
        <v>4.9896000000000003</v>
      </c>
      <c r="T73" s="21">
        <f>T72/$I73</f>
        <v>5.8212000000000002</v>
      </c>
      <c r="U73" t="s">
        <v>759</v>
      </c>
    </row>
    <row r="75" spans="2:21" x14ac:dyDescent="0.2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864</v>
      </c>
      <c r="J75" s="3" t="s">
        <v>865</v>
      </c>
      <c r="K75" s="3" t="s">
        <v>7</v>
      </c>
      <c r="M75" s="3" t="s">
        <v>872</v>
      </c>
      <c r="N75" s="3" t="s">
        <v>733</v>
      </c>
      <c r="O75" s="3" t="s">
        <v>858</v>
      </c>
      <c r="P75" s="3" t="s">
        <v>862</v>
      </c>
    </row>
    <row r="76" spans="2:21" x14ac:dyDescent="0.2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 t="shared" ref="G76:G81" si="38"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 t="shared" ref="K76:K81" si="39">J76*2.2</f>
        <v>1.2194252890987187</v>
      </c>
      <c r="M76" s="78">
        <v>1</v>
      </c>
      <c r="N76" s="80">
        <f>J76*I$71*I$70*M76</f>
        <v>4.1991228963454494</v>
      </c>
      <c r="O76" s="101">
        <f>N76/0.21/I$69/I$70</f>
        <v>44.435162924290466</v>
      </c>
      <c r="P76" s="80">
        <f>O76/28</f>
        <v>1.5869701044389453</v>
      </c>
      <c r="Q76" t="s">
        <v>878</v>
      </c>
    </row>
    <row r="77" spans="2:21" x14ac:dyDescent="0.2">
      <c r="B77" s="93"/>
      <c r="C77" s="94">
        <v>1.87</v>
      </c>
      <c r="D77" s="94">
        <v>31</v>
      </c>
      <c r="E77" s="100">
        <f t="shared" ref="E77" si="40">C77*2.54</f>
        <v>4.7498000000000005</v>
      </c>
      <c r="F77" s="94">
        <f t="shared" ref="F77" si="41">D77*2.54</f>
        <v>78.739999999999995</v>
      </c>
      <c r="G77" s="95">
        <f t="shared" si="38"/>
        <v>1.3951982990907659</v>
      </c>
      <c r="H77" s="94">
        <v>1</v>
      </c>
      <c r="I77" s="92">
        <f t="shared" ref="I77:I81" si="42">G77*I$73</f>
        <v>0.8789749284271825</v>
      </c>
      <c r="J77" s="92">
        <f t="shared" ref="J77:J81" si="43">H77*I77*I$72</f>
        <v>0.703179942741746</v>
      </c>
      <c r="K77" s="100">
        <f t="shared" si="39"/>
        <v>1.5469958740318412</v>
      </c>
      <c r="L77" s="111"/>
      <c r="M77" s="3">
        <v>1</v>
      </c>
      <c r="N77" s="5">
        <f t="shared" ref="N77:N81" si="44">J77*I$71*I$70*M77</f>
        <v>5.3271207783465604</v>
      </c>
      <c r="O77" s="81">
        <f t="shared" ref="O77:O81" si="45">N77/0.21/I$69/I$70</f>
        <v>56.371648448111749</v>
      </c>
      <c r="P77" s="5">
        <f t="shared" ref="P77:P81" si="46">O77/28</f>
        <v>2.0132731588611339</v>
      </c>
      <c r="Q77" t="s">
        <v>879</v>
      </c>
    </row>
    <row r="78" spans="2:21" x14ac:dyDescent="0.2">
      <c r="C78" s="78">
        <v>2.37</v>
      </c>
      <c r="D78" s="78">
        <v>38.5</v>
      </c>
      <c r="E78" s="79">
        <f>C78*2.54</f>
        <v>6.0198</v>
      </c>
      <c r="F78" s="78">
        <f>D78*2.54</f>
        <v>97.79</v>
      </c>
      <c r="G78" s="80">
        <f t="shared" si="38"/>
        <v>2.7832258715532605</v>
      </c>
      <c r="H78" s="78">
        <v>1</v>
      </c>
      <c r="I78" s="79">
        <f t="shared" si="42"/>
        <v>1.753432299078554</v>
      </c>
      <c r="J78" s="79">
        <f t="shared" si="43"/>
        <v>1.4027458392628434</v>
      </c>
      <c r="K78" s="79">
        <f t="shared" si="39"/>
        <v>3.0860408463782556</v>
      </c>
      <c r="M78" s="78">
        <v>1</v>
      </c>
      <c r="N78" s="80">
        <f t="shared" si="44"/>
        <v>10.626862418657904</v>
      </c>
      <c r="O78" s="101">
        <f t="shared" si="45"/>
        <v>112.45357056780851</v>
      </c>
      <c r="P78" s="80">
        <f t="shared" si="46"/>
        <v>4.0161989488503043</v>
      </c>
      <c r="Q78" t="s">
        <v>877</v>
      </c>
    </row>
    <row r="79" spans="2:21" x14ac:dyDescent="0.2">
      <c r="B79" s="93"/>
      <c r="C79" s="89">
        <v>2.87</v>
      </c>
      <c r="D79" s="89">
        <v>48</v>
      </c>
      <c r="E79" s="90">
        <f t="shared" ref="E79" si="47">C79*2.54</f>
        <v>7.2898000000000005</v>
      </c>
      <c r="F79" s="89">
        <f t="shared" ref="F79" si="48">D79*2.54</f>
        <v>121.92</v>
      </c>
      <c r="G79" s="91">
        <f t="shared" si="38"/>
        <v>5.0885736191177164</v>
      </c>
      <c r="H79" s="89">
        <v>1</v>
      </c>
      <c r="I79" s="92">
        <f t="shared" si="42"/>
        <v>3.2058013800441616</v>
      </c>
      <c r="J79" s="92">
        <f t="shared" si="43"/>
        <v>2.5646411040353296</v>
      </c>
      <c r="K79" s="90">
        <f t="shared" si="39"/>
        <v>5.6422104288777257</v>
      </c>
      <c r="L79" s="111"/>
      <c r="M79" s="94">
        <v>1.3</v>
      </c>
      <c r="N79" s="95">
        <f t="shared" si="44"/>
        <v>25.257829054893399</v>
      </c>
      <c r="O79" s="96">
        <f t="shared" si="45"/>
        <v>267.27861433749626</v>
      </c>
      <c r="P79" s="95">
        <f t="shared" si="46"/>
        <v>9.5456647977677243</v>
      </c>
      <c r="Q79" t="s">
        <v>1074</v>
      </c>
    </row>
    <row r="80" spans="2:21" x14ac:dyDescent="0.2">
      <c r="C80" s="97">
        <v>3.87</v>
      </c>
      <c r="D80" s="97">
        <v>34</v>
      </c>
      <c r="E80" s="98">
        <f>C80*2.54</f>
        <v>9.8298000000000005</v>
      </c>
      <c r="F80" s="97">
        <f>D80*2.54</f>
        <v>86.36</v>
      </c>
      <c r="G80" s="99">
        <f t="shared" si="38"/>
        <v>6.5537802956552733</v>
      </c>
      <c r="H80" s="97">
        <v>1</v>
      </c>
      <c r="I80" s="98">
        <f t="shared" si="42"/>
        <v>4.1288815862628221</v>
      </c>
      <c r="J80" s="98">
        <f t="shared" si="43"/>
        <v>3.303105269010258</v>
      </c>
      <c r="K80" s="98">
        <f t="shared" si="39"/>
        <v>7.2668315918225685</v>
      </c>
      <c r="L80" s="111"/>
      <c r="M80" s="97">
        <v>1</v>
      </c>
      <c r="N80" s="99">
        <f t="shared" si="44"/>
        <v>25.023524765229226</v>
      </c>
      <c r="O80" s="102">
        <f t="shared" si="45"/>
        <v>264.79920386485952</v>
      </c>
      <c r="P80" s="99">
        <f t="shared" si="46"/>
        <v>9.4571144237449829</v>
      </c>
    </row>
    <row r="81" spans="2:21" x14ac:dyDescent="0.2">
      <c r="C81" s="3">
        <v>5.87</v>
      </c>
      <c r="D81" s="3">
        <v>24</v>
      </c>
      <c r="E81" s="21">
        <f t="shared" ref="E81" si="49">C81*2.54</f>
        <v>14.909800000000001</v>
      </c>
      <c r="F81" s="3">
        <f t="shared" ref="F81" si="50">D81*2.54</f>
        <v>60.96</v>
      </c>
      <c r="G81" s="5">
        <f t="shared" si="38"/>
        <v>10.643353223699282</v>
      </c>
      <c r="H81" s="3">
        <v>1</v>
      </c>
      <c r="I81" s="82">
        <f t="shared" si="42"/>
        <v>6.7053125309305477</v>
      </c>
      <c r="J81" s="82">
        <f t="shared" si="43"/>
        <v>5.3642500247444387</v>
      </c>
      <c r="K81" s="21">
        <f t="shared" si="39"/>
        <v>11.801350054437766</v>
      </c>
      <c r="L81" s="110" t="s">
        <v>880</v>
      </c>
      <c r="M81" s="3">
        <v>0.65</v>
      </c>
      <c r="N81" s="5">
        <f t="shared" si="44"/>
        <v>26.41486754609004</v>
      </c>
      <c r="O81" s="81">
        <f t="shared" si="45"/>
        <v>279.52240789513269</v>
      </c>
      <c r="P81" s="5">
        <f t="shared" si="46"/>
        <v>9.9829431391118817</v>
      </c>
      <c r="Q81" t="s">
        <v>1072</v>
      </c>
    </row>
    <row r="82" spans="2:21" x14ac:dyDescent="0.2">
      <c r="C82" s="3">
        <v>5.87</v>
      </c>
      <c r="D82" s="3">
        <v>46</v>
      </c>
      <c r="E82" s="21">
        <f t="shared" ref="E82" si="51">C82*2.54</f>
        <v>14.909800000000001</v>
      </c>
      <c r="F82" s="3">
        <f t="shared" ref="F82" si="52">D82*2.54</f>
        <v>116.84</v>
      </c>
      <c r="G82" s="5">
        <f t="shared" ref="G82" si="53">PI() * (E82/2)^2 * F82 /1000</f>
        <v>20.399760345423626</v>
      </c>
      <c r="H82" s="3">
        <v>1</v>
      </c>
      <c r="I82" s="82">
        <f t="shared" ref="I82" si="54">G82*I$73</f>
        <v>12.851849017616885</v>
      </c>
      <c r="J82" s="82">
        <f t="shared" ref="J82" si="55">H82*I82*I$72</f>
        <v>10.281479214093508</v>
      </c>
      <c r="K82" s="21">
        <f t="shared" ref="K82" si="56">J82*2.2</f>
        <v>22.619254271005719</v>
      </c>
      <c r="L82" s="110" t="s">
        <v>880</v>
      </c>
      <c r="M82" s="3">
        <v>0.65</v>
      </c>
      <c r="N82" s="5">
        <f t="shared" ref="N82" si="57">J82*I$71*I$70*M82</f>
        <v>50.628496130005914</v>
      </c>
      <c r="O82" s="81">
        <f t="shared" ref="O82" si="58">N82/0.21/I$69/I$70</f>
        <v>535.75128179900435</v>
      </c>
      <c r="P82" s="5">
        <f t="shared" ref="P82" si="59">O82/28</f>
        <v>19.13397434996444</v>
      </c>
      <c r="Q82" t="s">
        <v>1073</v>
      </c>
      <c r="T82" s="81">
        <f>O82/0.8</f>
        <v>669.68910224875538</v>
      </c>
      <c r="U82" s="3">
        <v>3450</v>
      </c>
    </row>
    <row r="83" spans="2:21" x14ac:dyDescent="0.2">
      <c r="C83" s="3"/>
      <c r="D83" s="3"/>
      <c r="E83" s="21"/>
      <c r="F83" s="3"/>
      <c r="G83" s="5"/>
      <c r="H83" s="3"/>
      <c r="I83" s="82"/>
      <c r="J83" s="82"/>
      <c r="K83" s="21"/>
      <c r="L83" s="110"/>
      <c r="M83" s="3"/>
      <c r="N83" s="5"/>
      <c r="O83" s="81"/>
      <c r="P83" s="5"/>
      <c r="S83" s="3" t="s">
        <v>1070</v>
      </c>
      <c r="T83" s="3" t="s">
        <v>1071</v>
      </c>
      <c r="U83" s="3"/>
    </row>
    <row r="84" spans="2:21" x14ac:dyDescent="0.2">
      <c r="M84" t="s">
        <v>893</v>
      </c>
      <c r="S84" s="3">
        <v>0.5</v>
      </c>
      <c r="T84" s="81">
        <f>T82/S84</f>
        <v>1339.3782044975108</v>
      </c>
      <c r="U84" s="5">
        <f>U82/T84</f>
        <v>2.5758221153780259</v>
      </c>
    </row>
    <row r="85" spans="2:21" x14ac:dyDescent="0.2">
      <c r="C85" s="78">
        <v>3.37</v>
      </c>
      <c r="D85" s="78">
        <v>21</v>
      </c>
      <c r="E85" s="79">
        <f>C85*2.54</f>
        <v>8.559800000000001</v>
      </c>
      <c r="F85" s="78">
        <f>D85*2.54</f>
        <v>53.34</v>
      </c>
      <c r="G85" s="80">
        <f>PI() * (E85/2)^2 * F85 /1000</f>
        <v>3.0695175987378898</v>
      </c>
      <c r="H85" s="109" t="s">
        <v>373</v>
      </c>
      <c r="M85" t="s">
        <v>894</v>
      </c>
      <c r="S85" s="3">
        <v>0.3</v>
      </c>
      <c r="T85" s="81">
        <f>T82/S85</f>
        <v>2232.2970074958512</v>
      </c>
      <c r="U85" s="5">
        <f>U82/T85</f>
        <v>1.5454932692268155</v>
      </c>
    </row>
    <row r="86" spans="2:21" x14ac:dyDescent="0.2">
      <c r="C86" s="97">
        <v>3.87</v>
      </c>
      <c r="D86" s="97">
        <v>24</v>
      </c>
      <c r="E86" s="98">
        <f>C86*2.54</f>
        <v>9.8298000000000005</v>
      </c>
      <c r="F86" s="97">
        <f>D86*2.54</f>
        <v>60.96</v>
      </c>
      <c r="G86" s="99">
        <f t="shared" ref="G86:G87" si="60">PI() * (E86/2)^2 * F86 /1000</f>
        <v>4.6261978557566632</v>
      </c>
      <c r="M86" t="s">
        <v>895</v>
      </c>
    </row>
    <row r="87" spans="2:21" x14ac:dyDescent="0.2">
      <c r="C87" s="3">
        <v>5.87</v>
      </c>
      <c r="D87" s="3">
        <v>24</v>
      </c>
      <c r="E87" s="21">
        <f t="shared" ref="E87" si="61">C87*2.54</f>
        <v>14.909800000000001</v>
      </c>
      <c r="F87" s="3">
        <f t="shared" ref="F87" si="62">D87*2.54</f>
        <v>60.96</v>
      </c>
      <c r="G87" s="5">
        <f t="shared" si="60"/>
        <v>10.643353223699282</v>
      </c>
      <c r="M87" t="s">
        <v>896</v>
      </c>
    </row>
    <row r="89" spans="2:21" x14ac:dyDescent="0.2">
      <c r="M89" t="s">
        <v>899</v>
      </c>
    </row>
    <row r="90" spans="2:21" x14ac:dyDescent="0.2">
      <c r="D90" s="26" t="s">
        <v>911</v>
      </c>
      <c r="M90" t="s">
        <v>897</v>
      </c>
    </row>
    <row r="91" spans="2:21" x14ac:dyDescent="0.2">
      <c r="B91" t="s">
        <v>36</v>
      </c>
      <c r="C91" s="26" t="s">
        <v>911</v>
      </c>
      <c r="D91" s="26" t="s">
        <v>911</v>
      </c>
      <c r="F91" s="103" t="s">
        <v>912</v>
      </c>
      <c r="M91" t="s">
        <v>898</v>
      </c>
    </row>
    <row r="92" spans="2:21" x14ac:dyDescent="0.2">
      <c r="B92" t="s">
        <v>946</v>
      </c>
      <c r="C92" s="104" t="s">
        <v>910</v>
      </c>
      <c r="D92" s="108" t="s">
        <v>938</v>
      </c>
      <c r="E92" s="107" t="s">
        <v>913</v>
      </c>
      <c r="F92" s="103" t="s">
        <v>912</v>
      </c>
      <c r="M92" t="s">
        <v>900</v>
      </c>
    </row>
    <row r="94" spans="2:21" x14ac:dyDescent="0.2">
      <c r="M94" t="s">
        <v>901</v>
      </c>
      <c r="N94" t="s">
        <v>902</v>
      </c>
    </row>
    <row r="95" spans="2:21" x14ac:dyDescent="0.2">
      <c r="C95" t="s">
        <v>933</v>
      </c>
      <c r="M95" t="s">
        <v>904</v>
      </c>
      <c r="N95" t="s">
        <v>903</v>
      </c>
    </row>
    <row r="96" spans="2:21" x14ac:dyDescent="0.2">
      <c r="B96" t="s">
        <v>908</v>
      </c>
      <c r="C96" s="26"/>
      <c r="D96" s="26"/>
      <c r="E96" s="106"/>
      <c r="F96" s="66"/>
      <c r="G96" s="103"/>
      <c r="H96" s="103"/>
      <c r="I96" s="106"/>
      <c r="J96" s="26"/>
      <c r="K96" s="106"/>
      <c r="L96" s="109" t="s">
        <v>920</v>
      </c>
    </row>
    <row r="97" spans="2:16" x14ac:dyDescent="0.2">
      <c r="B97" t="s">
        <v>909</v>
      </c>
      <c r="C97" s="66"/>
      <c r="D97" s="103"/>
      <c r="E97" s="103"/>
      <c r="F97" s="26"/>
      <c r="G97" s="26"/>
      <c r="H97" s="106"/>
      <c r="I97" s="66"/>
      <c r="J97" s="103"/>
      <c r="K97" s="103"/>
      <c r="L97" s="109" t="s">
        <v>920</v>
      </c>
    </row>
    <row r="98" spans="2:16" x14ac:dyDescent="0.2">
      <c r="N98" t="s">
        <v>906</v>
      </c>
      <c r="P98">
        <v>160</v>
      </c>
    </row>
    <row r="99" spans="2:16" x14ac:dyDescent="0.2">
      <c r="B99" t="s">
        <v>914</v>
      </c>
      <c r="C99" s="104">
        <v>1</v>
      </c>
      <c r="D99" s="104">
        <v>1</v>
      </c>
      <c r="E99" s="104">
        <v>1</v>
      </c>
      <c r="F99" s="107"/>
      <c r="G99" s="103"/>
      <c r="H99" s="103"/>
      <c r="I99" s="104">
        <v>1</v>
      </c>
      <c r="J99" s="104">
        <v>1</v>
      </c>
      <c r="K99" s="104">
        <v>1</v>
      </c>
      <c r="L99" s="109" t="s">
        <v>923</v>
      </c>
      <c r="N99" t="s">
        <v>905</v>
      </c>
    </row>
    <row r="100" spans="2:16" x14ac:dyDescent="0.2">
      <c r="B100" t="s">
        <v>915</v>
      </c>
      <c r="C100" s="107"/>
      <c r="D100" s="103"/>
      <c r="E100" s="103"/>
      <c r="F100" s="104">
        <v>1</v>
      </c>
      <c r="G100" s="104">
        <v>1</v>
      </c>
      <c r="H100" s="104">
        <v>1</v>
      </c>
      <c r="I100" s="107"/>
      <c r="J100" s="103"/>
      <c r="K100" s="103"/>
      <c r="L100" s="109" t="s">
        <v>923</v>
      </c>
      <c r="O100" t="s">
        <v>907</v>
      </c>
      <c r="P100">
        <v>80</v>
      </c>
    </row>
    <row r="101" spans="2:16" x14ac:dyDescent="0.2"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s="109" t="s">
        <v>920</v>
      </c>
    </row>
    <row r="104" spans="2:16" x14ac:dyDescent="0.2">
      <c r="B104" t="s">
        <v>908</v>
      </c>
      <c r="C104" s="26"/>
      <c r="D104" s="26"/>
      <c r="E104" s="103"/>
      <c r="F104" s="26"/>
      <c r="G104" s="26"/>
      <c r="H104" s="26"/>
      <c r="I104" s="106"/>
      <c r="J104" s="26"/>
      <c r="K104" s="105"/>
      <c r="L104" s="109" t="s">
        <v>925</v>
      </c>
      <c r="N104" t="s">
        <v>939</v>
      </c>
    </row>
    <row r="105" spans="2:16" x14ac:dyDescent="0.2">
      <c r="B105" t="s">
        <v>909</v>
      </c>
      <c r="C105" s="26"/>
      <c r="D105" s="26"/>
      <c r="E105" s="26"/>
      <c r="F105" s="26"/>
      <c r="G105" s="26"/>
      <c r="H105" s="103"/>
      <c r="I105" s="106"/>
      <c r="J105" s="106"/>
      <c r="K105" s="106"/>
      <c r="L105" s="109" t="s">
        <v>925</v>
      </c>
      <c r="N105">
        <f>(228+114)/2</f>
        <v>171</v>
      </c>
      <c r="O105" t="s">
        <v>940</v>
      </c>
    </row>
    <row r="106" spans="2:16" x14ac:dyDescent="0.2">
      <c r="N106" t="s">
        <v>941</v>
      </c>
    </row>
    <row r="107" spans="2:16" x14ac:dyDescent="0.2">
      <c r="B107" t="s">
        <v>914</v>
      </c>
      <c r="C107" s="104">
        <v>1</v>
      </c>
      <c r="D107" s="107"/>
      <c r="E107" s="103"/>
      <c r="F107" s="104">
        <v>1</v>
      </c>
      <c r="G107" s="108">
        <v>2</v>
      </c>
      <c r="H107" s="104">
        <v>1</v>
      </c>
      <c r="I107" s="104">
        <v>1</v>
      </c>
      <c r="J107" s="107"/>
      <c r="K107" s="103"/>
      <c r="L107" s="109" t="s">
        <v>921</v>
      </c>
    </row>
    <row r="108" spans="2:16" x14ac:dyDescent="0.2">
      <c r="B108" t="s">
        <v>915</v>
      </c>
      <c r="C108" s="104">
        <v>1</v>
      </c>
      <c r="D108" s="108">
        <v>2</v>
      </c>
      <c r="E108" s="104">
        <v>1</v>
      </c>
      <c r="F108" s="104">
        <v>1</v>
      </c>
      <c r="G108" s="107"/>
      <c r="H108" s="103"/>
      <c r="I108" s="104">
        <v>1</v>
      </c>
      <c r="J108" s="108">
        <v>2</v>
      </c>
      <c r="K108" s="104">
        <v>1</v>
      </c>
      <c r="L108" s="109" t="s">
        <v>921</v>
      </c>
      <c r="N108">
        <v>228</v>
      </c>
    </row>
    <row r="109" spans="2:16" x14ac:dyDescent="0.2"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2</v>
      </c>
      <c r="K109">
        <v>1</v>
      </c>
      <c r="L109" s="109" t="s">
        <v>936</v>
      </c>
      <c r="N109">
        <f>N108-N105</f>
        <v>57</v>
      </c>
      <c r="O109" t="s">
        <v>942</v>
      </c>
    </row>
    <row r="110" spans="2:16" ht="17" thickBot="1" x14ac:dyDescent="0.25">
      <c r="N110">
        <v>5</v>
      </c>
      <c r="O110" t="s">
        <v>944</v>
      </c>
    </row>
    <row r="111" spans="2:16" x14ac:dyDescent="0.2">
      <c r="B111" s="47" t="s">
        <v>908</v>
      </c>
      <c r="C111" s="112"/>
      <c r="D111" s="113"/>
      <c r="E111" s="112"/>
      <c r="F111" s="112"/>
      <c r="G111" s="112"/>
      <c r="H111" s="114"/>
      <c r="I111" s="112"/>
      <c r="J111" s="112"/>
      <c r="K111" s="112"/>
      <c r="L111" s="115" t="s">
        <v>919</v>
      </c>
      <c r="N111" s="2">
        <f>N109*N110/2/60</f>
        <v>2.375</v>
      </c>
      <c r="O111" t="s">
        <v>943</v>
      </c>
    </row>
    <row r="112" spans="2:16" x14ac:dyDescent="0.2">
      <c r="B112" s="116" t="s">
        <v>909</v>
      </c>
      <c r="C112" s="117"/>
      <c r="D112" s="117"/>
      <c r="E112" s="117"/>
      <c r="F112" s="118"/>
      <c r="G112" s="119"/>
      <c r="H112" s="119"/>
      <c r="I112" s="117"/>
      <c r="J112" s="118"/>
      <c r="K112" s="119"/>
      <c r="L112" s="120" t="s">
        <v>919</v>
      </c>
      <c r="N112" s="22"/>
    </row>
    <row r="113" spans="2:14" x14ac:dyDescent="0.2">
      <c r="B113" s="116"/>
      <c r="C113" s="93"/>
      <c r="D113" s="93"/>
      <c r="E113" s="93"/>
      <c r="F113" s="93"/>
      <c r="G113" s="93"/>
      <c r="H113" s="93"/>
      <c r="I113" s="93"/>
      <c r="J113" s="93"/>
      <c r="K113" s="93"/>
      <c r="L113" s="120"/>
      <c r="N113" s="2" t="s">
        <v>945</v>
      </c>
    </row>
    <row r="114" spans="2:14" x14ac:dyDescent="0.2">
      <c r="B114" s="116" t="s">
        <v>914</v>
      </c>
      <c r="C114" s="121"/>
      <c r="D114" s="118"/>
      <c r="E114" s="122">
        <v>2</v>
      </c>
      <c r="F114" s="123">
        <v>1</v>
      </c>
      <c r="G114" s="121"/>
      <c r="H114" s="118"/>
      <c r="I114" s="122">
        <v>2</v>
      </c>
      <c r="J114" s="123">
        <v>1</v>
      </c>
      <c r="K114" s="121"/>
      <c r="L114" s="120" t="s">
        <v>926</v>
      </c>
    </row>
    <row r="115" spans="2:14" x14ac:dyDescent="0.2">
      <c r="B115" s="116" t="s">
        <v>915</v>
      </c>
      <c r="C115" s="122">
        <v>2</v>
      </c>
      <c r="D115" s="123">
        <v>1</v>
      </c>
      <c r="E115" s="121"/>
      <c r="F115" s="118"/>
      <c r="G115" s="122">
        <v>2</v>
      </c>
      <c r="H115" s="123">
        <v>1</v>
      </c>
      <c r="I115" s="121"/>
      <c r="J115" s="118"/>
      <c r="K115" s="122">
        <v>2</v>
      </c>
      <c r="L115" s="120" t="s">
        <v>926</v>
      </c>
    </row>
    <row r="116" spans="2:14" ht="17" thickBot="1" x14ac:dyDescent="0.25">
      <c r="B116" s="124" t="s">
        <v>910</v>
      </c>
      <c r="C116" s="49">
        <v>2</v>
      </c>
      <c r="D116" s="49">
        <v>1</v>
      </c>
      <c r="E116" s="49">
        <v>2</v>
      </c>
      <c r="F116" s="49">
        <v>1</v>
      </c>
      <c r="G116" s="49">
        <v>2</v>
      </c>
      <c r="H116" s="49">
        <v>1</v>
      </c>
      <c r="I116" s="49">
        <v>2</v>
      </c>
      <c r="J116" s="49">
        <v>1</v>
      </c>
      <c r="K116" s="49">
        <v>2</v>
      </c>
      <c r="L116" s="125" t="s">
        <v>935</v>
      </c>
    </row>
    <row r="118" spans="2:14" x14ac:dyDescent="0.2">
      <c r="B118" t="s">
        <v>908</v>
      </c>
      <c r="C118" s="26"/>
      <c r="D118" s="103"/>
      <c r="E118" s="103"/>
      <c r="F118" s="26"/>
      <c r="G118" s="26"/>
      <c r="H118" s="26"/>
      <c r="I118" s="106"/>
      <c r="J118" s="103"/>
      <c r="K118" s="105"/>
      <c r="L118" s="109" t="s">
        <v>931</v>
      </c>
    </row>
    <row r="119" spans="2:14" x14ac:dyDescent="0.2">
      <c r="B119" t="s">
        <v>909</v>
      </c>
      <c r="C119" s="26"/>
      <c r="D119" s="26"/>
      <c r="E119" s="26"/>
      <c r="F119" s="26"/>
      <c r="G119" s="103"/>
      <c r="H119" s="103"/>
      <c r="I119" s="106"/>
      <c r="J119" s="106"/>
      <c r="K119" s="106"/>
      <c r="L119" s="109" t="s">
        <v>931</v>
      </c>
    </row>
    <row r="121" spans="2:14" x14ac:dyDescent="0.2">
      <c r="B121" t="s">
        <v>914</v>
      </c>
      <c r="C121" s="107"/>
      <c r="D121" s="103"/>
      <c r="E121" s="103"/>
      <c r="F121" s="108">
        <v>2</v>
      </c>
      <c r="G121" s="104">
        <v>1</v>
      </c>
      <c r="H121" s="104">
        <v>1</v>
      </c>
      <c r="I121" s="107"/>
      <c r="J121" s="103"/>
      <c r="K121" s="103"/>
      <c r="L121" s="109" t="s">
        <v>932</v>
      </c>
    </row>
    <row r="122" spans="2:14" x14ac:dyDescent="0.2">
      <c r="B122" t="s">
        <v>915</v>
      </c>
      <c r="C122" s="108">
        <v>2</v>
      </c>
      <c r="D122" s="104">
        <v>1</v>
      </c>
      <c r="E122" s="104">
        <v>1</v>
      </c>
      <c r="F122" s="107"/>
      <c r="G122" s="103"/>
      <c r="H122" s="103"/>
      <c r="I122" s="108">
        <v>2</v>
      </c>
      <c r="J122" s="104">
        <v>1</v>
      </c>
      <c r="K122" s="104">
        <v>1</v>
      </c>
      <c r="L122" s="109" t="s">
        <v>932</v>
      </c>
    </row>
    <row r="123" spans="2:14" x14ac:dyDescent="0.2">
      <c r="C123">
        <v>2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1</v>
      </c>
      <c r="L123" s="109" t="s">
        <v>918</v>
      </c>
    </row>
    <row r="125" spans="2:14" x14ac:dyDescent="0.2">
      <c r="C125" t="s">
        <v>934</v>
      </c>
    </row>
    <row r="126" spans="2:14" x14ac:dyDescent="0.2">
      <c r="B126" t="s">
        <v>908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920</v>
      </c>
    </row>
    <row r="127" spans="2:14" x14ac:dyDescent="0.2">
      <c r="B127" t="s">
        <v>909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109" t="s">
        <v>920</v>
      </c>
    </row>
    <row r="128" spans="2:14" x14ac:dyDescent="0.2">
      <c r="B128" t="s">
        <v>916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922</v>
      </c>
    </row>
    <row r="129" spans="2:12" x14ac:dyDescent="0.2">
      <c r="B129" t="s">
        <v>917</v>
      </c>
      <c r="C129" s="66"/>
      <c r="D129" s="103"/>
      <c r="E129" s="103"/>
      <c r="F129" s="66"/>
      <c r="G129" s="103"/>
      <c r="H129" s="103"/>
      <c r="I129" s="66"/>
      <c r="J129" s="103"/>
      <c r="K129" s="103"/>
      <c r="L129" s="109" t="s">
        <v>922</v>
      </c>
    </row>
    <row r="131" spans="2:12" x14ac:dyDescent="0.2">
      <c r="B131" t="s">
        <v>914</v>
      </c>
      <c r="C131" s="108">
        <v>2</v>
      </c>
      <c r="D131" s="108">
        <v>2</v>
      </c>
      <c r="E131" s="108">
        <v>2</v>
      </c>
      <c r="F131" s="107"/>
      <c r="G131" s="103">
        <v>1</v>
      </c>
      <c r="H131" s="103">
        <v>1</v>
      </c>
      <c r="I131" s="108">
        <v>2</v>
      </c>
      <c r="J131" s="108">
        <v>2</v>
      </c>
      <c r="K131" s="108">
        <v>2</v>
      </c>
      <c r="L131" s="109" t="s">
        <v>924</v>
      </c>
    </row>
    <row r="132" spans="2:12" x14ac:dyDescent="0.2">
      <c r="B132" t="s">
        <v>915</v>
      </c>
      <c r="C132" s="107"/>
      <c r="D132" s="103">
        <v>1</v>
      </c>
      <c r="E132" s="103">
        <v>1</v>
      </c>
      <c r="F132" s="108">
        <v>2</v>
      </c>
      <c r="G132" s="108">
        <v>2</v>
      </c>
      <c r="H132" s="108">
        <v>2</v>
      </c>
      <c r="I132" s="107"/>
      <c r="J132" s="103">
        <v>1</v>
      </c>
      <c r="K132" s="103">
        <v>1</v>
      </c>
      <c r="L132" s="109" t="s">
        <v>924</v>
      </c>
    </row>
    <row r="133" spans="2:12" x14ac:dyDescent="0.2"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 s="109" t="s">
        <v>930</v>
      </c>
    </row>
    <row r="135" spans="2:12" x14ac:dyDescent="0.2">
      <c r="B135" t="s">
        <v>908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937</v>
      </c>
    </row>
    <row r="136" spans="2:12" x14ac:dyDescent="0.2">
      <c r="B136" t="s">
        <v>909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920</v>
      </c>
    </row>
    <row r="137" spans="2:12" x14ac:dyDescent="0.2">
      <c r="B137" t="s">
        <v>928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109" t="s">
        <v>920</v>
      </c>
    </row>
    <row r="138" spans="2:12" x14ac:dyDescent="0.2">
      <c r="B138" t="s">
        <v>916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922</v>
      </c>
    </row>
    <row r="139" spans="2:12" x14ac:dyDescent="0.2">
      <c r="B139" t="s">
        <v>917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922</v>
      </c>
    </row>
    <row r="140" spans="2:12" x14ac:dyDescent="0.2">
      <c r="B140" t="s">
        <v>927</v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9" t="s">
        <v>922</v>
      </c>
    </row>
    <row r="142" spans="2:12" x14ac:dyDescent="0.2">
      <c r="B142" t="s">
        <v>914</v>
      </c>
      <c r="C142" s="108">
        <v>1.5</v>
      </c>
      <c r="D142" s="108">
        <v>3</v>
      </c>
      <c r="E142" s="108">
        <v>1.5</v>
      </c>
      <c r="F142" s="107"/>
      <c r="G142" s="103">
        <v>1.5</v>
      </c>
      <c r="H142" s="103">
        <v>1.5</v>
      </c>
      <c r="I142" s="108">
        <v>1.5</v>
      </c>
      <c r="J142" s="108">
        <v>3</v>
      </c>
      <c r="K142" s="108">
        <v>1.5</v>
      </c>
      <c r="L142" s="109" t="s">
        <v>924</v>
      </c>
    </row>
    <row r="143" spans="2:12" x14ac:dyDescent="0.2">
      <c r="B143" t="s">
        <v>915</v>
      </c>
      <c r="C143" s="103">
        <v>1.5</v>
      </c>
      <c r="D143" s="103">
        <v>1.5</v>
      </c>
      <c r="E143" s="108">
        <v>1.5</v>
      </c>
      <c r="F143" s="108">
        <v>3</v>
      </c>
      <c r="G143" s="108">
        <v>1.5</v>
      </c>
      <c r="H143" s="107"/>
      <c r="I143" s="103">
        <v>1.5</v>
      </c>
      <c r="J143" s="103">
        <v>1.5</v>
      </c>
      <c r="K143" s="108">
        <v>1.5</v>
      </c>
      <c r="L143" s="109" t="s">
        <v>924</v>
      </c>
    </row>
    <row r="144" spans="2:12" x14ac:dyDescent="0.2">
      <c r="B144" t="s">
        <v>929</v>
      </c>
      <c r="C144" s="108">
        <v>1.5</v>
      </c>
      <c r="D144" s="107"/>
      <c r="E144" s="103">
        <v>1.5</v>
      </c>
      <c r="F144" s="103">
        <v>1.5</v>
      </c>
      <c r="G144" s="108">
        <v>1.5</v>
      </c>
      <c r="H144" s="108">
        <v>3</v>
      </c>
      <c r="I144" s="108">
        <v>1.5</v>
      </c>
      <c r="J144" s="107"/>
      <c r="K144" s="103">
        <v>1.5</v>
      </c>
      <c r="L144" s="109" t="s">
        <v>924</v>
      </c>
    </row>
    <row r="145" spans="2:12" x14ac:dyDescent="0.2"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</row>
    <row r="147" spans="2:12" x14ac:dyDescent="0.2">
      <c r="B147" t="s">
        <v>914</v>
      </c>
      <c r="C147" s="108">
        <v>2</v>
      </c>
      <c r="D147" s="108">
        <v>2</v>
      </c>
      <c r="E147" s="108">
        <v>2</v>
      </c>
      <c r="F147" s="107"/>
      <c r="G147" s="103">
        <v>1.5</v>
      </c>
      <c r="H147" s="103">
        <v>1.5</v>
      </c>
      <c r="I147" s="108">
        <v>2</v>
      </c>
      <c r="J147" s="108">
        <v>2</v>
      </c>
      <c r="K147" s="108">
        <v>2</v>
      </c>
      <c r="L147" s="109" t="s">
        <v>924</v>
      </c>
    </row>
    <row r="148" spans="2:12" x14ac:dyDescent="0.2">
      <c r="B148" t="s">
        <v>915</v>
      </c>
      <c r="C148" s="103">
        <v>1.5</v>
      </c>
      <c r="D148" s="103">
        <v>1.5</v>
      </c>
      <c r="E148" s="108">
        <v>2</v>
      </c>
      <c r="F148" s="108">
        <v>2</v>
      </c>
      <c r="G148" s="108">
        <v>2</v>
      </c>
      <c r="H148" s="107"/>
      <c r="I148" s="103">
        <v>1.5</v>
      </c>
      <c r="J148" s="103">
        <v>1.5</v>
      </c>
      <c r="K148" s="108">
        <v>2</v>
      </c>
      <c r="L148" s="109" t="s">
        <v>924</v>
      </c>
    </row>
    <row r="149" spans="2:12" x14ac:dyDescent="0.2">
      <c r="B149" t="s">
        <v>929</v>
      </c>
      <c r="C149" s="108">
        <v>2</v>
      </c>
      <c r="D149" s="107"/>
      <c r="E149" s="103">
        <v>1.5</v>
      </c>
      <c r="F149" s="103">
        <v>1.5</v>
      </c>
      <c r="G149" s="108">
        <v>2</v>
      </c>
      <c r="H149" s="108">
        <v>2</v>
      </c>
      <c r="I149" s="108">
        <v>2</v>
      </c>
      <c r="J149" s="107"/>
      <c r="K149" s="103">
        <v>1.5</v>
      </c>
      <c r="L149" s="109" t="s">
        <v>924</v>
      </c>
    </row>
    <row r="150" spans="2:12" x14ac:dyDescent="0.2">
      <c r="C150">
        <v>4</v>
      </c>
      <c r="D150">
        <v>2</v>
      </c>
      <c r="E150">
        <v>4</v>
      </c>
      <c r="F150">
        <v>2</v>
      </c>
      <c r="G150">
        <v>4</v>
      </c>
      <c r="H150">
        <v>2</v>
      </c>
      <c r="I150">
        <v>4</v>
      </c>
      <c r="J150">
        <v>2</v>
      </c>
      <c r="K150">
        <v>4</v>
      </c>
    </row>
    <row r="153" spans="2:12" x14ac:dyDescent="0.2">
      <c r="C153">
        <v>1.75</v>
      </c>
      <c r="D153">
        <v>2.5</v>
      </c>
      <c r="E153">
        <v>7</v>
      </c>
      <c r="F153">
        <v>10</v>
      </c>
      <c r="G153">
        <v>7</v>
      </c>
      <c r="H153">
        <v>10</v>
      </c>
    </row>
    <row r="154" spans="2:12" x14ac:dyDescent="0.2">
      <c r="C154">
        <v>3.5</v>
      </c>
      <c r="D154">
        <v>2.5</v>
      </c>
      <c r="E154">
        <v>14</v>
      </c>
      <c r="F154">
        <v>10</v>
      </c>
      <c r="G154">
        <v>14</v>
      </c>
      <c r="H154">
        <v>10</v>
      </c>
    </row>
    <row r="156" spans="2:12" x14ac:dyDescent="0.2">
      <c r="C156">
        <v>1.67</v>
      </c>
      <c r="D156">
        <v>2.67</v>
      </c>
      <c r="E156">
        <v>5</v>
      </c>
      <c r="F156">
        <v>8</v>
      </c>
      <c r="G156">
        <v>5</v>
      </c>
      <c r="H156">
        <v>8</v>
      </c>
    </row>
    <row r="157" spans="2:12" x14ac:dyDescent="0.2">
      <c r="C157">
        <v>3.33</v>
      </c>
      <c r="D157">
        <v>2.67</v>
      </c>
      <c r="E157">
        <v>10</v>
      </c>
      <c r="F157">
        <v>8</v>
      </c>
      <c r="G157">
        <v>10</v>
      </c>
      <c r="H157">
        <v>8</v>
      </c>
    </row>
    <row r="161" spans="2:12" x14ac:dyDescent="0.2">
      <c r="B161" t="s">
        <v>908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920</v>
      </c>
    </row>
    <row r="162" spans="2:12" x14ac:dyDescent="0.2">
      <c r="B162" t="s">
        <v>909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109" t="s">
        <v>920</v>
      </c>
    </row>
    <row r="163" spans="2:12" x14ac:dyDescent="0.2">
      <c r="B163" t="s">
        <v>916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922</v>
      </c>
    </row>
    <row r="164" spans="2:12" x14ac:dyDescent="0.2">
      <c r="B164" t="s">
        <v>917</v>
      </c>
      <c r="C164" s="66"/>
      <c r="D164" s="103"/>
      <c r="E164" s="103"/>
      <c r="F164" s="103"/>
      <c r="G164" s="103"/>
      <c r="I164" s="103"/>
      <c r="J164" s="103"/>
      <c r="K164" s="103"/>
      <c r="L164" s="109" t="s">
        <v>922</v>
      </c>
    </row>
    <row r="166" spans="2:12" x14ac:dyDescent="0.2">
      <c r="B166" t="s">
        <v>914</v>
      </c>
      <c r="C166" s="108">
        <v>1</v>
      </c>
      <c r="D166" s="108">
        <v>2</v>
      </c>
      <c r="E166" s="108">
        <v>2</v>
      </c>
      <c r="F166" s="103">
        <v>1</v>
      </c>
      <c r="G166" s="103">
        <v>1</v>
      </c>
      <c r="H166" s="108">
        <v>1</v>
      </c>
      <c r="I166" s="108">
        <v>2</v>
      </c>
      <c r="J166" s="108">
        <v>2</v>
      </c>
      <c r="K166" s="103">
        <v>1</v>
      </c>
      <c r="L166" s="109" t="s">
        <v>947</v>
      </c>
    </row>
    <row r="167" spans="2:12" x14ac:dyDescent="0.2">
      <c r="B167" t="s">
        <v>915</v>
      </c>
      <c r="C167" s="108">
        <v>1</v>
      </c>
      <c r="D167" s="103">
        <v>1</v>
      </c>
      <c r="E167" s="103">
        <v>1</v>
      </c>
      <c r="F167" s="108">
        <v>2</v>
      </c>
      <c r="G167" s="108">
        <v>2</v>
      </c>
      <c r="H167" s="108">
        <v>1</v>
      </c>
      <c r="I167" s="103">
        <v>1</v>
      </c>
      <c r="J167" s="103">
        <v>1</v>
      </c>
      <c r="K167" s="108">
        <v>2</v>
      </c>
      <c r="L167" s="109" t="s">
        <v>947</v>
      </c>
    </row>
    <row r="168" spans="2:12" x14ac:dyDescent="0.2"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 s="109" t="s">
        <v>948</v>
      </c>
    </row>
    <row r="171" spans="2:12" x14ac:dyDescent="0.2">
      <c r="B171" t="s">
        <v>908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920</v>
      </c>
    </row>
    <row r="172" spans="2:12" x14ac:dyDescent="0.2">
      <c r="B172" t="s">
        <v>909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109" t="s">
        <v>920</v>
      </c>
    </row>
    <row r="173" spans="2:12" x14ac:dyDescent="0.2">
      <c r="B173" t="s">
        <v>916</v>
      </c>
      <c r="C173" s="103"/>
      <c r="E173" s="103"/>
      <c r="F173" s="103"/>
      <c r="H173" s="103"/>
      <c r="I173" s="103"/>
      <c r="K173" s="103"/>
      <c r="L173" s="109" t="s">
        <v>922</v>
      </c>
    </row>
    <row r="174" spans="2:12" x14ac:dyDescent="0.2">
      <c r="B174" t="s">
        <v>917</v>
      </c>
      <c r="C174" s="103"/>
      <c r="E174" s="103"/>
      <c r="F174" s="103"/>
      <c r="H174" s="103"/>
      <c r="I174" s="103"/>
      <c r="K174" s="103"/>
      <c r="L174" s="109" t="s">
        <v>922</v>
      </c>
    </row>
    <row r="176" spans="2:12" x14ac:dyDescent="0.2">
      <c r="B176" t="s">
        <v>914</v>
      </c>
      <c r="C176" s="103">
        <v>2</v>
      </c>
      <c r="D176" s="108">
        <v>1</v>
      </c>
      <c r="E176" s="108">
        <v>2</v>
      </c>
      <c r="F176" s="103">
        <v>2</v>
      </c>
      <c r="G176" s="108">
        <v>1</v>
      </c>
      <c r="H176" s="108">
        <v>2</v>
      </c>
      <c r="I176" s="103">
        <v>2</v>
      </c>
      <c r="J176" s="108">
        <v>1</v>
      </c>
      <c r="K176" s="108">
        <v>2</v>
      </c>
      <c r="L176" s="109" t="s">
        <v>947</v>
      </c>
    </row>
    <row r="177" spans="2:12" x14ac:dyDescent="0.2">
      <c r="B177" t="s">
        <v>915</v>
      </c>
      <c r="C177" s="108">
        <v>2</v>
      </c>
      <c r="D177" s="108">
        <v>1</v>
      </c>
      <c r="E177" s="103">
        <v>2</v>
      </c>
      <c r="F177" s="108">
        <v>2</v>
      </c>
      <c r="G177" s="108">
        <v>1</v>
      </c>
      <c r="H177" s="103">
        <v>2</v>
      </c>
      <c r="I177" s="108">
        <v>2</v>
      </c>
      <c r="J177" s="108">
        <v>1</v>
      </c>
      <c r="K177" s="103">
        <v>2</v>
      </c>
      <c r="L177" s="109" t="s">
        <v>947</v>
      </c>
    </row>
    <row r="178" spans="2:12" x14ac:dyDescent="0.2"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 s="109" t="s">
        <v>948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C5:G23"/>
  <sheetViews>
    <sheetView workbookViewId="0">
      <selection activeCell="I20" sqref="I20"/>
    </sheetView>
  </sheetViews>
  <sheetFormatPr baseColWidth="10" defaultRowHeight="16" x14ac:dyDescent="0.2"/>
  <cols>
    <col min="3" max="3" width="19.1640625" customWidth="1"/>
    <col min="4" max="4" width="12.5" style="3" customWidth="1"/>
    <col min="5" max="5" width="12.6640625" style="3" customWidth="1"/>
    <col min="6" max="6" width="12.33203125" style="3" customWidth="1"/>
    <col min="7" max="7" width="13.83203125" style="3" customWidth="1"/>
  </cols>
  <sheetData>
    <row r="5" spans="3:7" x14ac:dyDescent="0.2">
      <c r="D5" s="3" t="s">
        <v>795</v>
      </c>
      <c r="E5" s="3" t="s">
        <v>793</v>
      </c>
      <c r="F5" s="3" t="s">
        <v>796</v>
      </c>
      <c r="G5" s="3" t="s">
        <v>806</v>
      </c>
    </row>
    <row r="6" spans="3:7" x14ac:dyDescent="0.2">
      <c r="C6" t="s">
        <v>811</v>
      </c>
      <c r="D6" s="77" t="s">
        <v>813</v>
      </c>
      <c r="E6" s="77" t="s">
        <v>814</v>
      </c>
      <c r="F6" s="77" t="s">
        <v>815</v>
      </c>
      <c r="G6" s="77" t="s">
        <v>812</v>
      </c>
    </row>
    <row r="7" spans="3:7" x14ac:dyDescent="0.2">
      <c r="C7" t="s">
        <v>794</v>
      </c>
      <c r="D7" s="3">
        <v>10</v>
      </c>
      <c r="E7" s="3" t="s">
        <v>808</v>
      </c>
      <c r="F7" s="3" t="s">
        <v>807</v>
      </c>
      <c r="G7" s="3">
        <v>100</v>
      </c>
    </row>
    <row r="8" spans="3:7" x14ac:dyDescent="0.2">
      <c r="C8" t="s">
        <v>792</v>
      </c>
      <c r="D8" s="3" t="s">
        <v>797</v>
      </c>
      <c r="E8" s="3" t="s">
        <v>798</v>
      </c>
      <c r="F8" s="3" t="s">
        <v>804</v>
      </c>
      <c r="G8" s="3" t="s">
        <v>805</v>
      </c>
    </row>
    <row r="9" spans="3:7" x14ac:dyDescent="0.2">
      <c r="C9" t="s">
        <v>791</v>
      </c>
      <c r="D9" s="3" t="s">
        <v>801</v>
      </c>
      <c r="E9" s="3" t="s">
        <v>800</v>
      </c>
      <c r="F9" s="3" t="s">
        <v>803</v>
      </c>
      <c r="G9" s="3" t="s">
        <v>799</v>
      </c>
    </row>
    <row r="11" spans="3:7" x14ac:dyDescent="0.2">
      <c r="C11" t="s">
        <v>789</v>
      </c>
      <c r="D11" s="3">
        <v>50</v>
      </c>
      <c r="E11" s="3">
        <v>130</v>
      </c>
      <c r="F11" s="3">
        <v>260</v>
      </c>
      <c r="G11" s="3">
        <v>800</v>
      </c>
    </row>
    <row r="12" spans="3:7" x14ac:dyDescent="0.2">
      <c r="C12" t="s">
        <v>790</v>
      </c>
      <c r="D12" s="3">
        <v>50</v>
      </c>
      <c r="E12" s="3">
        <v>110</v>
      </c>
      <c r="F12" s="3">
        <v>130</v>
      </c>
      <c r="G12" s="3">
        <v>260</v>
      </c>
    </row>
    <row r="13" spans="3:7" x14ac:dyDescent="0.2">
      <c r="C13" t="s">
        <v>791</v>
      </c>
      <c r="D13" s="3">
        <v>50</v>
      </c>
      <c r="E13" s="3">
        <v>160</v>
      </c>
      <c r="F13" s="3">
        <v>220</v>
      </c>
      <c r="G13" s="3">
        <v>500</v>
      </c>
    </row>
    <row r="14" spans="3:7" x14ac:dyDescent="0.2">
      <c r="C14" t="s">
        <v>792</v>
      </c>
      <c r="D14" s="3">
        <v>30</v>
      </c>
      <c r="E14" s="3">
        <v>90</v>
      </c>
      <c r="F14" s="3">
        <v>150</v>
      </c>
      <c r="G14" s="3">
        <v>450</v>
      </c>
    </row>
    <row r="16" spans="3:7" x14ac:dyDescent="0.2">
      <c r="D16" s="3">
        <f>SUM(D11:D15)</f>
        <v>180</v>
      </c>
      <c r="E16" s="3">
        <f t="shared" ref="E16:G16" si="0">SUM(E11:E15)</f>
        <v>490</v>
      </c>
      <c r="F16" s="3">
        <f t="shared" si="0"/>
        <v>760</v>
      </c>
      <c r="G16" s="3">
        <f t="shared" si="0"/>
        <v>2010</v>
      </c>
    </row>
    <row r="17" spans="3:7" x14ac:dyDescent="0.2">
      <c r="C17" t="s">
        <v>802</v>
      </c>
      <c r="D17" s="3">
        <v>200</v>
      </c>
      <c r="E17" s="3">
        <v>500</v>
      </c>
      <c r="F17" s="3">
        <v>800</v>
      </c>
      <c r="G17" s="3">
        <v>1000</v>
      </c>
    </row>
    <row r="18" spans="3:7" x14ac:dyDescent="0.2">
      <c r="D18" s="3">
        <v>2</v>
      </c>
      <c r="E18" s="3">
        <v>2</v>
      </c>
      <c r="F18" s="3">
        <v>2</v>
      </c>
      <c r="G18" s="3">
        <v>2</v>
      </c>
    </row>
    <row r="19" spans="3:7" x14ac:dyDescent="0.2">
      <c r="D19" s="3">
        <f>(D16+D17) * D18</f>
        <v>760</v>
      </c>
      <c r="E19" s="3">
        <f t="shared" ref="E19:G19" si="1">(E16+E17) * E18</f>
        <v>1980</v>
      </c>
      <c r="F19" s="3">
        <f t="shared" si="1"/>
        <v>3120</v>
      </c>
      <c r="G19" s="3">
        <f t="shared" si="1"/>
        <v>6020</v>
      </c>
    </row>
    <row r="22" spans="3:7" x14ac:dyDescent="0.2">
      <c r="C22" t="s">
        <v>809</v>
      </c>
      <c r="D22" s="3">
        <v>40</v>
      </c>
      <c r="E22" s="3">
        <v>100</v>
      </c>
      <c r="F22" s="3">
        <v>200</v>
      </c>
      <c r="G22" s="3">
        <v>350</v>
      </c>
    </row>
    <row r="23" spans="3:7" x14ac:dyDescent="0.2">
      <c r="C23" t="s">
        <v>810</v>
      </c>
      <c r="D23" s="3">
        <v>40</v>
      </c>
      <c r="E23" s="3">
        <v>48</v>
      </c>
      <c r="F23" s="3">
        <v>100</v>
      </c>
      <c r="G23" s="3">
        <v>200</v>
      </c>
    </row>
  </sheetData>
  <pageMargins left="0.7" right="0.7" top="0.75" bottom="0.75" header="0.3" footer="0.3"/>
  <ignoredErrors>
    <ignoredError sqref="D6 G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 x14ac:dyDescent="0.2"/>
  <sheetData>
    <row r="8" spans="2:4" x14ac:dyDescent="0.2">
      <c r="B8" t="s">
        <v>379</v>
      </c>
      <c r="C8">
        <v>200</v>
      </c>
      <c r="D8" t="s">
        <v>374</v>
      </c>
    </row>
    <row r="9" spans="2:4" x14ac:dyDescent="0.2">
      <c r="B9" t="s">
        <v>380</v>
      </c>
      <c r="C9">
        <v>2.5</v>
      </c>
      <c r="D9" t="s">
        <v>375</v>
      </c>
    </row>
    <row r="10" spans="2:4" x14ac:dyDescent="0.2">
      <c r="B10" t="s">
        <v>382</v>
      </c>
      <c r="C10">
        <v>0.55000000000000004</v>
      </c>
      <c r="D10" t="s">
        <v>377</v>
      </c>
    </row>
    <row r="11" spans="2:4" x14ac:dyDescent="0.2">
      <c r="B11" t="s">
        <v>2</v>
      </c>
      <c r="C11">
        <v>400</v>
      </c>
      <c r="D11" t="s">
        <v>377</v>
      </c>
    </row>
    <row r="13" spans="2:4" x14ac:dyDescent="0.2">
      <c r="B13" t="s">
        <v>381</v>
      </c>
      <c r="C13" s="2">
        <f>C8/C9</f>
        <v>80</v>
      </c>
      <c r="D13" t="s">
        <v>376</v>
      </c>
    </row>
    <row r="14" spans="2:4" x14ac:dyDescent="0.2">
      <c r="B14" t="s">
        <v>383</v>
      </c>
      <c r="C14" s="22">
        <f>PI()*C10^2</f>
        <v>0.9503317777109126</v>
      </c>
      <c r="D14" t="s">
        <v>378</v>
      </c>
    </row>
    <row r="15" spans="2:4" x14ac:dyDescent="0.2">
      <c r="B15" t="s">
        <v>384</v>
      </c>
      <c r="C15" s="29">
        <f>(C13*1000/C14)/60</f>
        <v>1403.018782077314</v>
      </c>
      <c r="D15" t="s">
        <v>385</v>
      </c>
    </row>
    <row r="16" spans="2:4" x14ac:dyDescent="0.2">
      <c r="B16" t="s">
        <v>386</v>
      </c>
      <c r="C16" s="1">
        <f>C11/C15</f>
        <v>0.28509953331327381</v>
      </c>
      <c r="D16" t="s">
        <v>362</v>
      </c>
    </row>
    <row r="17" spans="2:5" x14ac:dyDescent="0.2">
      <c r="B17" t="s">
        <v>387</v>
      </c>
      <c r="C17" s="29">
        <f>2*PI()*C10*C11</f>
        <v>1382.3007675795091</v>
      </c>
      <c r="D17" t="s">
        <v>378</v>
      </c>
    </row>
    <row r="19" spans="2:5" x14ac:dyDescent="0.2">
      <c r="B19" t="s">
        <v>391</v>
      </c>
      <c r="C19">
        <f>C9*1.1644</f>
        <v>2.9110000000000005</v>
      </c>
      <c r="D19" t="s">
        <v>4</v>
      </c>
    </row>
    <row r="20" spans="2:5" x14ac:dyDescent="0.2">
      <c r="B20" t="s">
        <v>390</v>
      </c>
      <c r="C20" s="32">
        <v>1.9830000000000002E-5</v>
      </c>
      <c r="D20" t="s">
        <v>393</v>
      </c>
      <c r="E20" s="32"/>
    </row>
    <row r="21" spans="2:5" x14ac:dyDescent="0.2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 x14ac:dyDescent="0.2">
      <c r="B22" t="s">
        <v>355</v>
      </c>
      <c r="C22">
        <f>C10/100</f>
        <v>5.5000000000000005E-3</v>
      </c>
      <c r="D22" t="s">
        <v>392</v>
      </c>
    </row>
    <row r="23" spans="2:5" x14ac:dyDescent="0.2">
      <c r="B23" t="s">
        <v>389</v>
      </c>
      <c r="C23" s="33">
        <f>(C10/100) * (C15/100) * C21</f>
        <v>5.2566212115170818E-7</v>
      </c>
    </row>
    <row r="24" spans="2:5" x14ac:dyDescent="0.2">
      <c r="C24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workbookViewId="0">
      <selection activeCell="G24" sqref="G24"/>
    </sheetView>
  </sheetViews>
  <sheetFormatPr baseColWidth="10" defaultRowHeight="16" x14ac:dyDescent="0.2"/>
  <sheetData>
    <row r="5" spans="3:5" x14ac:dyDescent="0.2">
      <c r="C5" t="s">
        <v>232</v>
      </c>
    </row>
    <row r="6" spans="3:5" x14ac:dyDescent="0.2">
      <c r="C6" t="s">
        <v>233</v>
      </c>
    </row>
    <row r="7" spans="3:5" x14ac:dyDescent="0.2">
      <c r="C7" t="s">
        <v>234</v>
      </c>
    </row>
    <row r="11" spans="3:5" x14ac:dyDescent="0.2">
      <c r="C11">
        <v>28.317</v>
      </c>
    </row>
    <row r="12" spans="3:5" x14ac:dyDescent="0.2">
      <c r="C12" t="s">
        <v>236</v>
      </c>
      <c r="D12">
        <v>50</v>
      </c>
      <c r="E12">
        <v>85</v>
      </c>
    </row>
    <row r="13" spans="3:5" x14ac:dyDescent="0.2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 x14ac:dyDescent="0.2">
      <c r="C15" t="s">
        <v>237</v>
      </c>
      <c r="D15">
        <v>200</v>
      </c>
      <c r="E15">
        <v>200</v>
      </c>
    </row>
    <row r="16" spans="3:5" x14ac:dyDescent="0.2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 x14ac:dyDescent="0.2">
      <c r="C24">
        <f>17/25.4</f>
        <v>0.6692913385826772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"/>
  <sheetViews>
    <sheetView workbookViewId="0">
      <selection activeCell="I32" sqref="I32"/>
    </sheetView>
  </sheetViews>
  <sheetFormatPr baseColWidth="10" defaultRowHeight="16" x14ac:dyDescent="0.2"/>
  <cols>
    <col min="1" max="1" width="2.83203125" customWidth="1"/>
    <col min="3" max="3" width="10.83203125" style="3"/>
    <col min="4" max="4" width="12.6640625" style="3" customWidth="1"/>
    <col min="5" max="6" width="11.6640625" style="3" customWidth="1"/>
  </cols>
  <sheetData>
    <row r="2" spans="2:20" x14ac:dyDescent="0.2">
      <c r="C2" s="4" t="s">
        <v>23</v>
      </c>
    </row>
    <row r="3" spans="2:20" s="7" customFormat="1" ht="51" x14ac:dyDescent="0.2">
      <c r="C3" s="6" t="s">
        <v>9</v>
      </c>
      <c r="D3" s="6" t="s">
        <v>28</v>
      </c>
      <c r="E3" s="6" t="s">
        <v>29</v>
      </c>
      <c r="F3" s="6" t="s">
        <v>29</v>
      </c>
      <c r="G3" s="6" t="s">
        <v>31</v>
      </c>
      <c r="H3" s="7" t="s">
        <v>24</v>
      </c>
      <c r="I3" s="7" t="s">
        <v>27</v>
      </c>
      <c r="J3" s="7" t="s">
        <v>293</v>
      </c>
      <c r="L3" s="6" t="s">
        <v>25</v>
      </c>
      <c r="M3" s="7" t="s">
        <v>30</v>
      </c>
      <c r="N3" s="6" t="s">
        <v>26</v>
      </c>
      <c r="P3" s="7" t="s">
        <v>831</v>
      </c>
      <c r="Q3" s="7" t="s">
        <v>832</v>
      </c>
      <c r="R3" s="7" t="s">
        <v>833</v>
      </c>
      <c r="S3" s="7" t="s">
        <v>14</v>
      </c>
    </row>
    <row r="4" spans="2:20" x14ac:dyDescent="0.2">
      <c r="C4" s="3" t="s">
        <v>14</v>
      </c>
      <c r="D4" s="3">
        <v>0.6</v>
      </c>
      <c r="E4" s="3">
        <v>4.8</v>
      </c>
      <c r="F4" s="3">
        <v>4.8</v>
      </c>
      <c r="G4" s="3">
        <v>0.23</v>
      </c>
      <c r="H4" s="3">
        <v>0.1</v>
      </c>
      <c r="I4" s="3">
        <v>0.2</v>
      </c>
      <c r="J4" s="3">
        <v>0.6</v>
      </c>
      <c r="L4" s="3">
        <v>0.18</v>
      </c>
      <c r="M4" s="3">
        <v>0.25</v>
      </c>
      <c r="N4" s="3">
        <v>0.1</v>
      </c>
      <c r="P4" s="3">
        <v>0.89</v>
      </c>
      <c r="Q4" s="3">
        <v>0.89</v>
      </c>
      <c r="R4" s="3">
        <v>0.89</v>
      </c>
      <c r="S4" s="3">
        <v>0.89</v>
      </c>
      <c r="T4" s="3">
        <v>0.25</v>
      </c>
    </row>
    <row r="5" spans="2:20" x14ac:dyDescent="0.2">
      <c r="B5" s="3" t="s">
        <v>22</v>
      </c>
      <c r="C5" s="3" t="s">
        <v>10</v>
      </c>
      <c r="D5" s="3">
        <v>1</v>
      </c>
      <c r="E5" s="3">
        <v>1</v>
      </c>
      <c r="F5" s="3">
        <v>1</v>
      </c>
      <c r="G5" s="3">
        <v>1.1000000000000001</v>
      </c>
      <c r="H5" s="3">
        <v>1.1000000000000001</v>
      </c>
      <c r="I5" s="3">
        <v>1.1000000000000001</v>
      </c>
      <c r="J5" s="3">
        <v>1.1000000000000001</v>
      </c>
      <c r="L5" s="3">
        <v>1</v>
      </c>
      <c r="M5" s="3">
        <v>1</v>
      </c>
      <c r="N5" s="3">
        <v>1</v>
      </c>
      <c r="P5" s="3">
        <v>1</v>
      </c>
      <c r="Q5" s="3">
        <v>1</v>
      </c>
      <c r="R5" s="3">
        <v>1</v>
      </c>
      <c r="S5" s="3">
        <v>1.68</v>
      </c>
      <c r="T5" s="3">
        <v>0.375</v>
      </c>
    </row>
    <row r="6" spans="2:20" x14ac:dyDescent="0.2">
      <c r="B6" s="3" t="s">
        <v>21</v>
      </c>
      <c r="C6" s="3" t="s">
        <v>11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L6" s="3">
        <v>70</v>
      </c>
      <c r="M6" s="3">
        <v>70</v>
      </c>
      <c r="N6" s="3">
        <v>70</v>
      </c>
      <c r="P6" s="3">
        <v>70</v>
      </c>
      <c r="Q6" s="3">
        <v>70</v>
      </c>
      <c r="R6" s="3">
        <v>70</v>
      </c>
      <c r="S6" s="3">
        <v>2.79</v>
      </c>
      <c r="T6" s="3">
        <v>0.5</v>
      </c>
    </row>
    <row r="7" spans="2:20" x14ac:dyDescent="0.2">
      <c r="B7" s="3" t="s">
        <v>18</v>
      </c>
      <c r="C7" s="3" t="s">
        <v>12</v>
      </c>
      <c r="D7" s="3">
        <v>25</v>
      </c>
      <c r="E7" s="3">
        <v>25</v>
      </c>
      <c r="F7" s="3">
        <v>2</v>
      </c>
      <c r="G7" s="3">
        <v>28</v>
      </c>
      <c r="H7" s="3">
        <v>10</v>
      </c>
      <c r="I7" s="3">
        <v>28</v>
      </c>
      <c r="J7" s="3">
        <v>20</v>
      </c>
      <c r="L7" s="3">
        <v>35</v>
      </c>
      <c r="M7" s="3">
        <v>25</v>
      </c>
      <c r="N7" s="3">
        <v>100</v>
      </c>
      <c r="P7" s="3">
        <v>20</v>
      </c>
      <c r="Q7" s="3">
        <v>19</v>
      </c>
      <c r="R7" s="3">
        <v>15</v>
      </c>
    </row>
    <row r="8" spans="2:20" x14ac:dyDescent="0.2">
      <c r="B8" s="3" t="s">
        <v>18</v>
      </c>
      <c r="C8" s="3" t="s">
        <v>13</v>
      </c>
      <c r="D8" s="3">
        <v>23</v>
      </c>
      <c r="E8" s="3">
        <v>2</v>
      </c>
      <c r="F8" s="3">
        <v>0</v>
      </c>
      <c r="G8" s="3">
        <v>27.7</v>
      </c>
      <c r="H8" s="3">
        <v>7</v>
      </c>
      <c r="I8" s="3">
        <v>27</v>
      </c>
      <c r="J8" s="3">
        <v>5</v>
      </c>
      <c r="L8" s="3">
        <v>0</v>
      </c>
      <c r="M8" s="3">
        <v>0</v>
      </c>
      <c r="N8" s="3">
        <v>28</v>
      </c>
      <c r="P8" s="3">
        <v>19</v>
      </c>
      <c r="Q8" s="3">
        <v>2</v>
      </c>
      <c r="R8" s="3">
        <v>13.5</v>
      </c>
    </row>
    <row r="9" spans="2:20" x14ac:dyDescent="0.2">
      <c r="B9" s="3"/>
      <c r="G9" s="3"/>
      <c r="H9" s="3"/>
      <c r="I9" s="3"/>
      <c r="J9" s="3"/>
      <c r="L9" s="3"/>
      <c r="M9" s="3"/>
      <c r="N9" s="3"/>
      <c r="P9" s="3"/>
      <c r="Q9" s="3"/>
      <c r="R9" s="3"/>
    </row>
    <row r="10" spans="2:20" x14ac:dyDescent="0.2">
      <c r="B10" s="3" t="s">
        <v>15</v>
      </c>
      <c r="C10" s="3" t="s">
        <v>20</v>
      </c>
      <c r="D10" s="5">
        <f t="shared" ref="D10" si="0">962*D4*SQRT(((D7+14.7)^2-(D8+14.7)^2)/(D5*(D6+460)))</f>
        <v>311.94200970511793</v>
      </c>
      <c r="E10" s="5">
        <f>962*E4*SQRT(((E7+14.7)^2-(E8+14.7)^2)/(E5*(E6+460)))</f>
        <v>7224.0683207701395</v>
      </c>
      <c r="F10" s="5">
        <f>962*F4*SQRT(((F7+14.7)^2-(F8+14.7)^2)/(F5*(F6+460)))</f>
        <v>1589.4914512035152</v>
      </c>
      <c r="G10" s="5">
        <f>962*G4*SQRT(((G7+14.7)^2-(G8+14.7)^2)/(G5*(G6+460)))</f>
        <v>46.301390963920753</v>
      </c>
      <c r="H10" s="5">
        <f>962*H4*SQRT(((H7+14.7)^2-(H8+14.7)^2)/(H5*(H6+460)))</f>
        <v>47.0067702141843</v>
      </c>
      <c r="I10" s="5">
        <f t="shared" ref="I10:J10" si="1">962*I4*SQRT(((I7+14.7)^2-(I8+14.7)^2)/(I5*(I6+460)))</f>
        <v>73.205213847627235</v>
      </c>
      <c r="J10" s="5">
        <f t="shared" si="1"/>
        <v>682.86857041431574</v>
      </c>
      <c r="L10" s="5">
        <f>962*L4*SQRT(((L7+14.7)^2-(L8+14.7)^2)/(L5*(L6+460)))</f>
        <v>357.0973260452663</v>
      </c>
      <c r="M10" s="5">
        <f>962*M4*SQRT(((M7+14.7)^2-(M8+14.7)^2)/(M5*(M6+460)))</f>
        <v>385.25350634477479</v>
      </c>
      <c r="N10" s="5">
        <f t="shared" ref="N10:P10" si="2">962*N4*SQRT(((N7+14.7)^2-(N8+14.7)^2)/(N5*(N6+460)))</f>
        <v>444.84196394963237</v>
      </c>
      <c r="P10" s="5">
        <f t="shared" si="2"/>
        <v>307.57794766057953</v>
      </c>
      <c r="Q10" s="5">
        <f t="shared" ref="Q10:R10" si="3">962*Q4*SQRT(((Q7+14.7)^2-(Q8+14.7)^2)/(Q5*(Q6+460)))</f>
        <v>1088.596347430185</v>
      </c>
      <c r="R10" s="5">
        <f t="shared" si="3"/>
        <v>346.58682951911646</v>
      </c>
    </row>
    <row r="11" spans="2:20" x14ac:dyDescent="0.2">
      <c r="B11" s="3" t="s">
        <v>15</v>
      </c>
      <c r="C11" s="3" t="s">
        <v>16</v>
      </c>
      <c r="D11" s="5">
        <f t="shared" ref="D11" si="4">D4*(816*(D7+14.7)/SQRT(D5*(D6+460)))</f>
        <v>844.29454072549117</v>
      </c>
      <c r="E11" s="5">
        <f>E4*(816*(E7+14.7)/SQRT(E5*(E6+460)))</f>
        <v>6754.3563258039294</v>
      </c>
      <c r="F11" s="5">
        <f>F4*(816*(F7+14.7)/SQRT(F5*(F6+460)))</f>
        <v>2841.2531647588312</v>
      </c>
      <c r="G11" s="5">
        <f>G4*(816*(G7+14.7)/SQRT(G5*(G6+460)))</f>
        <v>331.90331677245371</v>
      </c>
      <c r="H11" s="5">
        <f>H4*(816*(H7+14.7)/SQRT(H5*(H6+460)))</f>
        <v>83.474309380710793</v>
      </c>
      <c r="I11" s="5">
        <f t="shared" ref="I11:J11" si="5">I4*(816*(I7+14.7)/SQRT(I5*(I6+460)))</f>
        <v>288.61157980213369</v>
      </c>
      <c r="J11" s="5">
        <f t="shared" si="5"/>
        <v>703.61745801878476</v>
      </c>
      <c r="L11" s="5">
        <f>L4*(816*(L7+14.7)/SQRT(L5*(L6+460)))</f>
        <v>317.08895723468697</v>
      </c>
      <c r="M11" s="5">
        <f>M4*(816*(M7+14.7)/SQRT(M5*(M6+460)))</f>
        <v>351.78939196895465</v>
      </c>
      <c r="N11" s="5">
        <f t="shared" ref="N11:P11" si="6">N4*(816*(N7+14.7)/SQRT(N5*(N6+460)))</f>
        <v>406.55156935858031</v>
      </c>
      <c r="P11" s="5">
        <f t="shared" si="6"/>
        <v>1094.6409866173528</v>
      </c>
      <c r="Q11" s="5">
        <f t="shared" ref="Q11:R11" si="7">Q4*(816*(Q7+14.7)/SQRT(Q5*(Q6+460)))</f>
        <v>1063.0951368589276</v>
      </c>
      <c r="R11" s="5">
        <f t="shared" si="7"/>
        <v>936.91173782522708</v>
      </c>
    </row>
    <row r="12" spans="2:20" x14ac:dyDescent="0.2">
      <c r="B12" s="3"/>
      <c r="G12" s="3"/>
      <c r="H12" s="3"/>
      <c r="I12" s="3"/>
      <c r="J12" s="3"/>
      <c r="L12" s="3"/>
      <c r="M12" s="3"/>
      <c r="N12" s="3"/>
      <c r="P12" s="3"/>
      <c r="Q12" s="3"/>
      <c r="R12" s="3"/>
    </row>
    <row r="13" spans="2:20" x14ac:dyDescent="0.2">
      <c r="B13" s="3" t="s">
        <v>17</v>
      </c>
      <c r="C13" s="3" t="s">
        <v>19</v>
      </c>
      <c r="D13" s="5">
        <f t="shared" ref="D13" si="8">MIN(D10*28.3168/60, D11*28.3168/60)</f>
        <v>147.2199916736314</v>
      </c>
      <c r="E13" s="5">
        <f>MIN(E10*28.3168/60, E11*28.3168/60)</f>
        <v>3187.6959534420789</v>
      </c>
      <c r="F13" s="5">
        <f>MIN(F10*28.3168/60, F11*28.3168/60)</f>
        <v>750.15519209066167</v>
      </c>
      <c r="G13" s="5">
        <f>MIN(G10*28.3168/60, G11*28.3168/60)</f>
        <v>21.851787127452518</v>
      </c>
      <c r="H13" s="5">
        <f>MIN(H10*28.3168/60, H11*28.3168/60)</f>
        <v>22.184688513350235</v>
      </c>
      <c r="I13" s="5">
        <f t="shared" ref="I13:J13" si="9">MIN(I10*28.3168/60, I11*28.3168/60)</f>
        <v>34.54895665800818</v>
      </c>
      <c r="J13" s="5">
        <f t="shared" si="9"/>
        <v>322.27754557846828</v>
      </c>
      <c r="L13" s="5">
        <f>MIN(L10*28.3168/60, L11*28.3168/60)</f>
        <v>149.64907640371973</v>
      </c>
      <c r="M13" s="5">
        <f>MIN(M10*28.3168/60, M11*28.3168/60)</f>
        <v>166.02583090844158</v>
      </c>
      <c r="N13" s="5">
        <f t="shared" ref="N13:P13" si="10">MIN(N10*28.3168/60, N11*28.3168/60)</f>
        <v>191.87065798688411</v>
      </c>
      <c r="P13" s="5">
        <f t="shared" si="10"/>
        <v>145.16038713858498</v>
      </c>
      <c r="Q13" s="5">
        <f t="shared" ref="Q13:R13" si="11">MIN(Q10*28.3168/60, Q11*28.3168/60)</f>
        <v>501.72420619011467</v>
      </c>
      <c r="R13" s="5">
        <f t="shared" si="11"/>
        <v>163.57049890211528</v>
      </c>
    </row>
    <row r="14" spans="2:20" x14ac:dyDescent="0.2">
      <c r="B14" s="19" t="s">
        <v>294</v>
      </c>
      <c r="C14" s="3" t="s">
        <v>19</v>
      </c>
      <c r="D14" s="5">
        <f>MIN(D10/60, D11/60)</f>
        <v>5.199033495085299</v>
      </c>
      <c r="E14" s="5">
        <f>MIN(E10/60, E11/60)</f>
        <v>112.57260543006549</v>
      </c>
      <c r="F14" s="5">
        <f t="shared" ref="F14:N14" si="12">MIN(F10/60, F11/60)</f>
        <v>26.491524186725254</v>
      </c>
      <c r="G14" s="5">
        <f t="shared" si="12"/>
        <v>0.77168984939867924</v>
      </c>
      <c r="H14" s="5">
        <f t="shared" si="12"/>
        <v>0.78344617023640495</v>
      </c>
      <c r="I14" s="5">
        <f t="shared" si="12"/>
        <v>1.220086897460454</v>
      </c>
      <c r="J14" s="5">
        <f t="shared" si="12"/>
        <v>11.381142840238596</v>
      </c>
      <c r="L14" s="5">
        <f t="shared" si="12"/>
        <v>5.2848159539114494</v>
      </c>
      <c r="M14" s="5">
        <f t="shared" si="12"/>
        <v>5.8631565328159105</v>
      </c>
      <c r="N14" s="5">
        <f t="shared" si="12"/>
        <v>6.7758594893096715</v>
      </c>
      <c r="P14" s="5">
        <f t="shared" ref="P14:R14" si="13">MIN(P10/60, P11/60)</f>
        <v>5.126299127676325</v>
      </c>
      <c r="Q14" s="5">
        <f t="shared" si="13"/>
        <v>17.718252280982128</v>
      </c>
      <c r="R14" s="5">
        <f t="shared" si="13"/>
        <v>5.7764471586519415</v>
      </c>
    </row>
    <row r="18" spans="2:7" x14ac:dyDescent="0.2">
      <c r="B18" t="s">
        <v>1065</v>
      </c>
    </row>
    <row r="19" spans="2:7" ht="17" x14ac:dyDescent="0.2">
      <c r="B19" s="7"/>
      <c r="C19" s="6" t="s">
        <v>9</v>
      </c>
      <c r="D19" s="6" t="s">
        <v>1066</v>
      </c>
      <c r="E19" s="3" t="s">
        <v>1067</v>
      </c>
      <c r="F19" s="3" t="s">
        <v>1068</v>
      </c>
      <c r="G19" s="3" t="s">
        <v>1069</v>
      </c>
    </row>
    <row r="20" spans="2:7" x14ac:dyDescent="0.2">
      <c r="C20" s="3" t="s">
        <v>14</v>
      </c>
      <c r="D20" s="3">
        <v>0.2</v>
      </c>
      <c r="E20" s="3">
        <v>0.3</v>
      </c>
      <c r="F20" s="142">
        <v>0.25</v>
      </c>
      <c r="G20" s="142">
        <v>0.2</v>
      </c>
    </row>
    <row r="21" spans="2:7" x14ac:dyDescent="0.2">
      <c r="B21" s="3" t="s">
        <v>22</v>
      </c>
      <c r="C21" s="3" t="s">
        <v>10</v>
      </c>
      <c r="D21" s="3">
        <v>1.1000000000000001</v>
      </c>
      <c r="E21" s="3">
        <v>1.1000000000000001</v>
      </c>
      <c r="F21" s="3">
        <v>1.1000000000000001</v>
      </c>
      <c r="G21" s="3">
        <v>1.1000000000000001</v>
      </c>
    </row>
    <row r="22" spans="2:7" x14ac:dyDescent="0.2">
      <c r="B22" s="3" t="s">
        <v>21</v>
      </c>
      <c r="C22" s="3" t="s">
        <v>11</v>
      </c>
      <c r="D22" s="3">
        <v>70</v>
      </c>
      <c r="E22" s="3">
        <v>70</v>
      </c>
      <c r="F22" s="3">
        <v>70</v>
      </c>
      <c r="G22" s="3">
        <v>70</v>
      </c>
    </row>
    <row r="23" spans="2:7" x14ac:dyDescent="0.2">
      <c r="B23" s="3" t="s">
        <v>18</v>
      </c>
      <c r="C23" s="3" t="s">
        <v>12</v>
      </c>
      <c r="D23" s="3">
        <v>25</v>
      </c>
      <c r="E23" s="3">
        <v>25</v>
      </c>
      <c r="F23" s="3">
        <v>25</v>
      </c>
      <c r="G23" s="3">
        <v>25</v>
      </c>
    </row>
    <row r="24" spans="2:7" x14ac:dyDescent="0.2">
      <c r="B24" s="3" t="s">
        <v>18</v>
      </c>
      <c r="C24" s="3" t="s">
        <v>13</v>
      </c>
      <c r="D24" s="3">
        <v>10</v>
      </c>
      <c r="E24" s="3">
        <v>10</v>
      </c>
      <c r="F24" s="3">
        <v>10</v>
      </c>
      <c r="G24" s="3">
        <v>10</v>
      </c>
    </row>
    <row r="25" spans="2:7" x14ac:dyDescent="0.2">
      <c r="B25" s="3"/>
      <c r="G25" s="3"/>
    </row>
    <row r="26" spans="2:7" x14ac:dyDescent="0.2">
      <c r="B26" s="3" t="s">
        <v>15</v>
      </c>
      <c r="C26" s="3" t="s">
        <v>20</v>
      </c>
      <c r="D26" s="5">
        <f t="shared" ref="D26:G26" si="14">962*D20*SQRT(((D23+14.7)^2-(D24+14.7)^2)/(D21*(D22+460)))</f>
        <v>247.66198732485108</v>
      </c>
      <c r="E26" s="5">
        <f t="shared" si="14"/>
        <v>371.49298098727655</v>
      </c>
      <c r="F26" s="5">
        <f t="shared" si="14"/>
        <v>309.57748415606386</v>
      </c>
      <c r="G26" s="5">
        <f t="shared" si="14"/>
        <v>247.66198732485108</v>
      </c>
    </row>
    <row r="27" spans="2:7" x14ac:dyDescent="0.2">
      <c r="B27" s="3" t="s">
        <v>15</v>
      </c>
      <c r="C27" s="3" t="s">
        <v>16</v>
      </c>
      <c r="D27" s="5">
        <f t="shared" ref="D27:G27" si="15">D20*(816*(D23+14.7)/SQRT(D21*(D22+460)))</f>
        <v>268.33441962868164</v>
      </c>
      <c r="E27" s="5">
        <f t="shared" si="15"/>
        <v>402.50162944302247</v>
      </c>
      <c r="F27" s="5">
        <f t="shared" si="15"/>
        <v>335.41802453585206</v>
      </c>
      <c r="G27" s="5">
        <f t="shared" si="15"/>
        <v>268.33441962868164</v>
      </c>
    </row>
    <row r="28" spans="2:7" x14ac:dyDescent="0.2">
      <c r="B28" s="3"/>
      <c r="G28" s="3"/>
    </row>
    <row r="29" spans="2:7" x14ac:dyDescent="0.2">
      <c r="B29" s="3" t="s">
        <v>17</v>
      </c>
      <c r="C29" s="3" t="s">
        <v>19</v>
      </c>
      <c r="D29" s="5">
        <f t="shared" ref="D29:G29" si="16">MIN(D26*28.3168/60, D27*28.3168/60)</f>
        <v>116.88324937800573</v>
      </c>
      <c r="E29" s="5">
        <f t="shared" si="16"/>
        <v>175.32487406700855</v>
      </c>
      <c r="F29" s="5">
        <f t="shared" si="16"/>
        <v>146.10406172250717</v>
      </c>
      <c r="G29" s="5">
        <f t="shared" si="16"/>
        <v>116.88324937800573</v>
      </c>
    </row>
    <row r="30" spans="2:7" x14ac:dyDescent="0.2">
      <c r="B30" s="19" t="s">
        <v>294</v>
      </c>
      <c r="C30" s="3" t="s">
        <v>19</v>
      </c>
      <c r="D30" s="5">
        <f>MIN(D26/60, D27/60)</f>
        <v>4.1276997887475178</v>
      </c>
      <c r="E30" s="5">
        <f t="shared" ref="E30:G30" si="17">MIN(E26/60, E27/60)</f>
        <v>6.1915496831212762</v>
      </c>
      <c r="F30" s="5">
        <f t="shared" si="17"/>
        <v>5.1596247359343979</v>
      </c>
      <c r="G30" s="5">
        <f t="shared" si="17"/>
        <v>4.1276997887475178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 x14ac:dyDescent="0.2"/>
  <sheetData>
    <row r="6" spans="2:3" x14ac:dyDescent="0.2">
      <c r="B6" t="s">
        <v>351</v>
      </c>
    </row>
    <row r="7" spans="2:3" x14ac:dyDescent="0.2">
      <c r="B7" t="s">
        <v>350</v>
      </c>
    </row>
    <row r="8" spans="2:3" x14ac:dyDescent="0.2">
      <c r="B8" t="s">
        <v>352</v>
      </c>
    </row>
    <row r="9" spans="2:3" x14ac:dyDescent="0.2">
      <c r="B9" t="s">
        <v>353</v>
      </c>
    </row>
    <row r="11" spans="2:3" x14ac:dyDescent="0.2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workbookViewId="0">
      <selection activeCell="B43" sqref="B43"/>
    </sheetView>
  </sheetViews>
  <sheetFormatPr baseColWidth="10" defaultRowHeight="16" x14ac:dyDescent="0.2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 x14ac:dyDescent="0.2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 x14ac:dyDescent="0.2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 x14ac:dyDescent="0.2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 x14ac:dyDescent="0.2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 x14ac:dyDescent="0.2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 x14ac:dyDescent="0.2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 x14ac:dyDescent="0.2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 x14ac:dyDescent="0.2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 x14ac:dyDescent="0.2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 x14ac:dyDescent="0.2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 x14ac:dyDescent="0.2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 x14ac:dyDescent="0.2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 x14ac:dyDescent="0.2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 x14ac:dyDescent="0.2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 x14ac:dyDescent="0.2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 x14ac:dyDescent="0.2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 x14ac:dyDescent="0.2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 x14ac:dyDescent="0.2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 x14ac:dyDescent="0.2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 x14ac:dyDescent="0.2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 x14ac:dyDescent="0.2">
      <c r="H26" s="18" t="s">
        <v>983</v>
      </c>
      <c r="I26" s="3" t="s">
        <v>250</v>
      </c>
    </row>
    <row r="27" spans="2:9" ht="34" x14ac:dyDescent="0.2">
      <c r="B27" s="17" t="s">
        <v>970</v>
      </c>
      <c r="C27" s="18" t="s">
        <v>961</v>
      </c>
      <c r="H27" s="12" t="s">
        <v>995</v>
      </c>
      <c r="I27" s="12" t="s">
        <v>962</v>
      </c>
    </row>
    <row r="28" spans="2:9" ht="34" x14ac:dyDescent="0.2">
      <c r="B28" s="17">
        <v>1975</v>
      </c>
      <c r="C28" s="18" t="s">
        <v>984</v>
      </c>
      <c r="H28" s="12" t="s">
        <v>994</v>
      </c>
      <c r="I28" s="12" t="s">
        <v>963</v>
      </c>
    </row>
    <row r="29" spans="2:9" ht="66" customHeight="1" x14ac:dyDescent="0.2">
      <c r="B29" s="17" t="s">
        <v>996</v>
      </c>
      <c r="C29" s="18" t="s">
        <v>997</v>
      </c>
      <c r="H29" s="12" t="s">
        <v>998</v>
      </c>
      <c r="I29" s="12" t="s">
        <v>1001</v>
      </c>
    </row>
    <row r="30" spans="2:9" ht="51" x14ac:dyDescent="0.2">
      <c r="B30" s="17" t="s">
        <v>969</v>
      </c>
      <c r="C30" s="18" t="s">
        <v>965</v>
      </c>
      <c r="H30" s="12" t="s">
        <v>985</v>
      </c>
      <c r="I30" s="12" t="s">
        <v>966</v>
      </c>
    </row>
    <row r="31" spans="2:9" ht="17" x14ac:dyDescent="0.2">
      <c r="B31" s="17">
        <v>1980</v>
      </c>
      <c r="C31" s="18" t="s">
        <v>959</v>
      </c>
      <c r="H31" s="12" t="s">
        <v>986</v>
      </c>
      <c r="I31" s="12" t="s">
        <v>960</v>
      </c>
    </row>
    <row r="32" spans="2:9" ht="39" customHeight="1" x14ac:dyDescent="0.2">
      <c r="B32" s="17" t="s">
        <v>968</v>
      </c>
      <c r="C32" s="18" t="s">
        <v>964</v>
      </c>
      <c r="H32" s="12" t="s">
        <v>993</v>
      </c>
      <c r="I32" s="12" t="s">
        <v>976</v>
      </c>
    </row>
    <row r="33" spans="2:8" ht="51" x14ac:dyDescent="0.2">
      <c r="B33" s="17" t="s">
        <v>999</v>
      </c>
      <c r="C33" s="18" t="s">
        <v>977</v>
      </c>
      <c r="H33" s="12" t="s">
        <v>1000</v>
      </c>
    </row>
    <row r="34" spans="2:8" ht="51" x14ac:dyDescent="0.2">
      <c r="B34" s="17" t="s">
        <v>971</v>
      </c>
      <c r="C34" s="18" t="s">
        <v>967</v>
      </c>
      <c r="H34" s="12" t="s">
        <v>975</v>
      </c>
    </row>
    <row r="35" spans="2:8" ht="68" x14ac:dyDescent="0.2">
      <c r="B35" s="17" t="s">
        <v>972</v>
      </c>
      <c r="H35" s="12" t="s">
        <v>974</v>
      </c>
    </row>
    <row r="36" spans="2:8" ht="51" x14ac:dyDescent="0.2">
      <c r="B36" s="17" t="s">
        <v>973</v>
      </c>
      <c r="H36" s="12" t="s">
        <v>978</v>
      </c>
    </row>
    <row r="37" spans="2:8" ht="51" x14ac:dyDescent="0.2">
      <c r="B37" s="17" t="s">
        <v>980</v>
      </c>
      <c r="H37" s="12" t="s">
        <v>979</v>
      </c>
    </row>
    <row r="38" spans="2:8" ht="51" x14ac:dyDescent="0.2">
      <c r="B38" s="17" t="s">
        <v>981</v>
      </c>
      <c r="H38" s="12" t="s">
        <v>988</v>
      </c>
    </row>
    <row r="39" spans="2:8" ht="34" x14ac:dyDescent="0.2">
      <c r="B39" s="17" t="s">
        <v>987</v>
      </c>
      <c r="H39" s="12" t="s">
        <v>991</v>
      </c>
    </row>
    <row r="40" spans="2:8" ht="34" x14ac:dyDescent="0.2">
      <c r="B40" s="17" t="s">
        <v>982</v>
      </c>
      <c r="H40" s="12" t="s">
        <v>990</v>
      </c>
    </row>
    <row r="41" spans="2:8" ht="68" x14ac:dyDescent="0.2">
      <c r="B41" s="17" t="s">
        <v>989</v>
      </c>
      <c r="H41" s="12" t="s">
        <v>992</v>
      </c>
    </row>
    <row r="42" spans="2:8" ht="51" x14ac:dyDescent="0.2">
      <c r="B42" s="17" t="s">
        <v>1002</v>
      </c>
      <c r="H42" s="12" t="s">
        <v>1003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 x14ac:dyDescent="0.2"/>
  <cols>
    <col min="2" max="2" width="13.83203125" bestFit="1" customWidth="1"/>
  </cols>
  <sheetData>
    <row r="5" spans="2:8" x14ac:dyDescent="0.2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 x14ac:dyDescent="0.2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 x14ac:dyDescent="0.2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 x14ac:dyDescent="0.2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 x14ac:dyDescent="0.2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 x14ac:dyDescent="0.2">
      <c r="E10">
        <v>200</v>
      </c>
      <c r="F10">
        <v>200</v>
      </c>
      <c r="G10">
        <v>200</v>
      </c>
      <c r="H10" t="s">
        <v>17</v>
      </c>
    </row>
    <row r="11" spans="2:8" x14ac:dyDescent="0.2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 x14ac:dyDescent="0.2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 x14ac:dyDescent="0.2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 x14ac:dyDescent="0.2">
      <c r="B19" s="1">
        <f>D19</f>
        <v>29.921259842519685</v>
      </c>
      <c r="C19" t="s">
        <v>311</v>
      </c>
      <c r="D19" s="20">
        <f>B22/25.4</f>
        <v>29.921259842519685</v>
      </c>
    </row>
    <row r="20" spans="2:6" x14ac:dyDescent="0.2">
      <c r="B20">
        <v>29.67</v>
      </c>
      <c r="C20" t="s">
        <v>309</v>
      </c>
    </row>
    <row r="22" spans="2:6" x14ac:dyDescent="0.2">
      <c r="B22">
        <v>760</v>
      </c>
      <c r="C22" t="s">
        <v>310</v>
      </c>
      <c r="E22" t="s">
        <v>333</v>
      </c>
    </row>
    <row r="23" spans="2:6" x14ac:dyDescent="0.2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 x14ac:dyDescent="0.2">
      <c r="B25">
        <v>1000</v>
      </c>
      <c r="C25" t="s">
        <v>313</v>
      </c>
    </row>
    <row r="26" spans="2:6" x14ac:dyDescent="0.2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 x14ac:dyDescent="0.2">
      <c r="C30">
        <v>14.7</v>
      </c>
      <c r="D30" t="s">
        <v>329</v>
      </c>
    </row>
    <row r="31" spans="2:6" x14ac:dyDescent="0.2">
      <c r="C31">
        <v>0.12</v>
      </c>
      <c r="D31" t="s">
        <v>330</v>
      </c>
    </row>
    <row r="32" spans="2:6" x14ac:dyDescent="0.2">
      <c r="C32" s="1">
        <f>C31/C30*1000</f>
        <v>8.1632653061224492</v>
      </c>
      <c r="D32" t="s">
        <v>331</v>
      </c>
    </row>
    <row r="33" spans="3:4" x14ac:dyDescent="0.2">
      <c r="C33" s="1">
        <f>C32*B22/1000</f>
        <v>6.204081632653061</v>
      </c>
      <c r="D33" t="s">
        <v>328</v>
      </c>
    </row>
    <row r="36" spans="3:4" x14ac:dyDescent="0.2">
      <c r="C36">
        <v>41</v>
      </c>
      <c r="D36" t="s">
        <v>332</v>
      </c>
    </row>
    <row r="37" spans="3:4" x14ac:dyDescent="0.2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 x14ac:dyDescent="0.2"/>
  <sheetData>
    <row r="1" spans="1:13" x14ac:dyDescent="0.2">
      <c r="A1" t="s">
        <v>303</v>
      </c>
    </row>
    <row r="6" spans="1:13" x14ac:dyDescent="0.2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 x14ac:dyDescent="0.2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 x14ac:dyDescent="0.2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 x14ac:dyDescent="0.2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 x14ac:dyDescent="0.2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 x14ac:dyDescent="0.2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 x14ac:dyDescent="0.2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 x14ac:dyDescent="0.2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 x14ac:dyDescent="0.2"/>
  <cols>
    <col min="2" max="2" width="14.33203125" customWidth="1"/>
  </cols>
  <sheetData>
    <row r="5" spans="2:9" x14ac:dyDescent="0.2">
      <c r="C5" t="s">
        <v>302</v>
      </c>
    </row>
    <row r="6" spans="2:9" x14ac:dyDescent="0.2">
      <c r="B6">
        <v>0.02</v>
      </c>
      <c r="C6" t="s">
        <v>33</v>
      </c>
      <c r="E6">
        <v>3.5</v>
      </c>
    </row>
    <row r="7" spans="2:9" x14ac:dyDescent="0.2">
      <c r="B7">
        <v>189</v>
      </c>
      <c r="C7" t="s">
        <v>32</v>
      </c>
      <c r="E7">
        <v>25.4</v>
      </c>
    </row>
    <row r="8" spans="2:9" x14ac:dyDescent="0.2">
      <c r="B8">
        <f>B6*B7</f>
        <v>3.7800000000000002</v>
      </c>
      <c r="C8" t="s">
        <v>34</v>
      </c>
      <c r="E8">
        <f>E7*E6</f>
        <v>88.899999999999991</v>
      </c>
    </row>
    <row r="12" spans="2:9" x14ac:dyDescent="0.2">
      <c r="B12" s="3" t="s">
        <v>301</v>
      </c>
    </row>
    <row r="13" spans="2:9" x14ac:dyDescent="0.2">
      <c r="B13" s="3">
        <v>11</v>
      </c>
      <c r="H13" t="s">
        <v>341</v>
      </c>
    </row>
    <row r="14" spans="2:9" x14ac:dyDescent="0.2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 x14ac:dyDescent="0.2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 x14ac:dyDescent="0.2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 x14ac:dyDescent="0.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 x14ac:dyDescent="0.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 x14ac:dyDescent="0.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 x14ac:dyDescent="0.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 x14ac:dyDescent="0.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 x14ac:dyDescent="0.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 x14ac:dyDescent="0.2">
      <c r="L24" s="23" t="s">
        <v>342</v>
      </c>
    </row>
    <row r="25" spans="2:12" x14ac:dyDescent="0.2">
      <c r="L25">
        <v>64</v>
      </c>
    </row>
    <row r="27" spans="2:12" x14ac:dyDescent="0.2">
      <c r="K27" s="23" t="s">
        <v>345</v>
      </c>
      <c r="L27" s="23" t="s">
        <v>344</v>
      </c>
    </row>
    <row r="28" spans="2:12" x14ac:dyDescent="0.2">
      <c r="K28">
        <v>1</v>
      </c>
      <c r="L28">
        <f>L$25^K28</f>
        <v>64</v>
      </c>
    </row>
    <row r="29" spans="2:12" x14ac:dyDescent="0.2">
      <c r="K29">
        <v>2</v>
      </c>
      <c r="L29">
        <f t="shared" ref="L29:L35" si="2">L$25^K29</f>
        <v>4096</v>
      </c>
    </row>
    <row r="30" spans="2:12" x14ac:dyDescent="0.2">
      <c r="K30">
        <v>3</v>
      </c>
      <c r="L30">
        <f t="shared" si="2"/>
        <v>262144</v>
      </c>
    </row>
    <row r="31" spans="2:12" x14ac:dyDescent="0.2">
      <c r="K31">
        <v>4</v>
      </c>
      <c r="L31">
        <f t="shared" si="2"/>
        <v>16777216</v>
      </c>
    </row>
    <row r="32" spans="2:12" x14ac:dyDescent="0.2">
      <c r="K32">
        <v>5</v>
      </c>
      <c r="L32">
        <f t="shared" si="2"/>
        <v>1073741824</v>
      </c>
    </row>
    <row r="33" spans="11:12" x14ac:dyDescent="0.2">
      <c r="K33">
        <v>6</v>
      </c>
      <c r="L33">
        <f t="shared" si="2"/>
        <v>68719476736</v>
      </c>
    </row>
    <row r="34" spans="11:12" x14ac:dyDescent="0.2">
      <c r="K34">
        <v>7</v>
      </c>
      <c r="L34">
        <f t="shared" si="2"/>
        <v>4398046511104</v>
      </c>
    </row>
    <row r="35" spans="11:12" x14ac:dyDescent="0.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 x14ac:dyDescent="0.2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 x14ac:dyDescent="0.2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 x14ac:dyDescent="0.2">
      <c r="A3" t="s">
        <v>69</v>
      </c>
      <c r="C3" t="s">
        <v>366</v>
      </c>
      <c r="D3" t="s">
        <v>370</v>
      </c>
    </row>
    <row r="4" spans="1:7" x14ac:dyDescent="0.2">
      <c r="C4" t="s">
        <v>35</v>
      </c>
      <c r="D4" t="s">
        <v>768</v>
      </c>
      <c r="F4" t="s">
        <v>769</v>
      </c>
    </row>
    <row r="5" spans="1:7" x14ac:dyDescent="0.2">
      <c r="B5">
        <v>4</v>
      </c>
      <c r="C5" t="s">
        <v>369</v>
      </c>
      <c r="F5" t="s">
        <v>770</v>
      </c>
    </row>
    <row r="6" spans="1:7" x14ac:dyDescent="0.2">
      <c r="B6">
        <v>4</v>
      </c>
      <c r="C6" t="s">
        <v>367</v>
      </c>
      <c r="F6" t="s">
        <v>771</v>
      </c>
    </row>
    <row r="7" spans="1:7" x14ac:dyDescent="0.2">
      <c r="B7">
        <v>2</v>
      </c>
      <c r="C7" t="s">
        <v>368</v>
      </c>
      <c r="F7" t="s">
        <v>772</v>
      </c>
    </row>
    <row r="8" spans="1:7" x14ac:dyDescent="0.2">
      <c r="B8">
        <v>4</v>
      </c>
      <c r="C8" t="s">
        <v>80</v>
      </c>
    </row>
    <row r="9" spans="1:7" x14ac:dyDescent="0.2">
      <c r="B9">
        <v>4</v>
      </c>
      <c r="C9" t="s">
        <v>79</v>
      </c>
    </row>
    <row r="10" spans="1:7" x14ac:dyDescent="0.2">
      <c r="B10">
        <v>16</v>
      </c>
      <c r="C10" t="s">
        <v>90</v>
      </c>
    </row>
    <row r="11" spans="1:7" x14ac:dyDescent="0.2">
      <c r="B11">
        <v>32</v>
      </c>
      <c r="C11" t="s">
        <v>91</v>
      </c>
    </row>
    <row r="13" spans="1:7" x14ac:dyDescent="0.2">
      <c r="A13" t="s">
        <v>36</v>
      </c>
      <c r="C13" t="s">
        <v>36</v>
      </c>
    </row>
    <row r="14" spans="1:7" x14ac:dyDescent="0.2">
      <c r="C14" t="s">
        <v>37</v>
      </c>
      <c r="D14" t="s">
        <v>363</v>
      </c>
      <c r="G14" t="s">
        <v>364</v>
      </c>
    </row>
    <row r="15" spans="1:7" x14ac:dyDescent="0.2">
      <c r="C15" t="s">
        <v>38</v>
      </c>
    </row>
    <row r="16" spans="1:7" x14ac:dyDescent="0.2">
      <c r="C16" t="s">
        <v>39</v>
      </c>
    </row>
    <row r="17" spans="1:3" x14ac:dyDescent="0.2">
      <c r="C17" t="s">
        <v>40</v>
      </c>
    </row>
    <row r="18" spans="1:3" x14ac:dyDescent="0.2">
      <c r="C18" t="s">
        <v>41</v>
      </c>
    </row>
    <row r="19" spans="1:3" x14ac:dyDescent="0.2">
      <c r="C19" t="s">
        <v>42</v>
      </c>
    </row>
    <row r="20" spans="1:3" x14ac:dyDescent="0.2">
      <c r="C20" t="s">
        <v>39</v>
      </c>
    </row>
    <row r="21" spans="1:3" x14ac:dyDescent="0.2">
      <c r="B21">
        <v>4</v>
      </c>
      <c r="C21" t="s">
        <v>65</v>
      </c>
    </row>
    <row r="22" spans="1:3" x14ac:dyDescent="0.2">
      <c r="C22" t="s">
        <v>72</v>
      </c>
    </row>
    <row r="23" spans="1:3" x14ac:dyDescent="0.2">
      <c r="B23">
        <v>2</v>
      </c>
      <c r="C23" t="s">
        <v>73</v>
      </c>
    </row>
    <row r="24" spans="1:3" x14ac:dyDescent="0.2">
      <c r="B24">
        <v>4</v>
      </c>
      <c r="C24" t="s">
        <v>88</v>
      </c>
    </row>
    <row r="25" spans="1:3" x14ac:dyDescent="0.2">
      <c r="B25">
        <v>4</v>
      </c>
      <c r="C25" t="s">
        <v>89</v>
      </c>
    </row>
    <row r="27" spans="1:3" x14ac:dyDescent="0.2">
      <c r="A27" t="s">
        <v>66</v>
      </c>
      <c r="C27" t="s">
        <v>43</v>
      </c>
    </row>
    <row r="28" spans="1:3" x14ac:dyDescent="0.2">
      <c r="C28" t="s">
        <v>46</v>
      </c>
    </row>
    <row r="29" spans="1:3" x14ac:dyDescent="0.2">
      <c r="C29" t="s">
        <v>44</v>
      </c>
    </row>
    <row r="30" spans="1:3" x14ac:dyDescent="0.2">
      <c r="C30" t="s">
        <v>47</v>
      </c>
    </row>
    <row r="31" spans="1:3" x14ac:dyDescent="0.2">
      <c r="B31">
        <v>2</v>
      </c>
      <c r="C31" t="s">
        <v>45</v>
      </c>
    </row>
    <row r="32" spans="1:3" x14ac:dyDescent="0.2">
      <c r="C32" t="s">
        <v>48</v>
      </c>
    </row>
    <row r="33" spans="1:3" x14ac:dyDescent="0.2">
      <c r="C33" t="s">
        <v>49</v>
      </c>
    </row>
    <row r="34" spans="1:3" x14ac:dyDescent="0.2">
      <c r="C34" t="s">
        <v>81</v>
      </c>
    </row>
    <row r="35" spans="1:3" x14ac:dyDescent="0.2">
      <c r="B35">
        <v>4</v>
      </c>
      <c r="C35" t="s">
        <v>87</v>
      </c>
    </row>
    <row r="37" spans="1:3" x14ac:dyDescent="0.2">
      <c r="A37" t="s">
        <v>67</v>
      </c>
      <c r="C37" t="s">
        <v>50</v>
      </c>
    </row>
    <row r="38" spans="1:3" x14ac:dyDescent="0.2">
      <c r="C38" t="s">
        <v>51</v>
      </c>
    </row>
    <row r="39" spans="1:3" x14ac:dyDescent="0.2">
      <c r="C39" t="s">
        <v>52</v>
      </c>
    </row>
    <row r="40" spans="1:3" x14ac:dyDescent="0.2">
      <c r="C40" t="s">
        <v>53</v>
      </c>
    </row>
    <row r="41" spans="1:3" x14ac:dyDescent="0.2">
      <c r="C41" t="s">
        <v>54</v>
      </c>
    </row>
    <row r="42" spans="1:3" x14ac:dyDescent="0.2">
      <c r="C42" t="s">
        <v>55</v>
      </c>
    </row>
    <row r="43" spans="1:3" x14ac:dyDescent="0.2">
      <c r="C43" t="s">
        <v>56</v>
      </c>
    </row>
    <row r="44" spans="1:3" x14ac:dyDescent="0.2">
      <c r="C44" t="s">
        <v>57</v>
      </c>
    </row>
    <row r="45" spans="1:3" x14ac:dyDescent="0.2">
      <c r="C45" t="s">
        <v>58</v>
      </c>
    </row>
    <row r="46" spans="1:3" x14ac:dyDescent="0.2">
      <c r="B46">
        <v>6</v>
      </c>
      <c r="C46" t="s">
        <v>86</v>
      </c>
    </row>
    <row r="49" spans="1:3" x14ac:dyDescent="0.2">
      <c r="A49" t="s">
        <v>68</v>
      </c>
      <c r="B49">
        <v>2</v>
      </c>
      <c r="C49" t="s">
        <v>59</v>
      </c>
    </row>
    <row r="50" spans="1:3" x14ac:dyDescent="0.2">
      <c r="C50" t="s">
        <v>60</v>
      </c>
    </row>
    <row r="51" spans="1:3" x14ac:dyDescent="0.2">
      <c r="C51" t="s">
        <v>61</v>
      </c>
    </row>
    <row r="52" spans="1:3" x14ac:dyDescent="0.2">
      <c r="C52" t="s">
        <v>62</v>
      </c>
    </row>
    <row r="53" spans="1:3" x14ac:dyDescent="0.2">
      <c r="C53" t="s">
        <v>63</v>
      </c>
    </row>
    <row r="54" spans="1:3" x14ac:dyDescent="0.2">
      <c r="C54" t="s">
        <v>64</v>
      </c>
    </row>
    <row r="55" spans="1:3" x14ac:dyDescent="0.2">
      <c r="C55" t="s">
        <v>70</v>
      </c>
    </row>
    <row r="56" spans="1:3" x14ac:dyDescent="0.2">
      <c r="B56">
        <v>2</v>
      </c>
      <c r="C56" t="s">
        <v>71</v>
      </c>
    </row>
    <row r="57" spans="1:3" x14ac:dyDescent="0.2">
      <c r="C57" t="s">
        <v>167</v>
      </c>
    </row>
    <row r="58" spans="1:3" x14ac:dyDescent="0.2">
      <c r="C58" t="s">
        <v>168</v>
      </c>
    </row>
    <row r="59" spans="1:3" x14ac:dyDescent="0.2">
      <c r="C59" t="s">
        <v>169</v>
      </c>
    </row>
    <row r="60" spans="1:3" x14ac:dyDescent="0.2">
      <c r="C60" t="s">
        <v>170</v>
      </c>
    </row>
    <row r="61" spans="1:3" x14ac:dyDescent="0.2">
      <c r="C61" t="s">
        <v>171</v>
      </c>
    </row>
    <row r="62" spans="1:3" x14ac:dyDescent="0.2">
      <c r="C62" t="s">
        <v>172</v>
      </c>
    </row>
    <row r="64" spans="1:3" x14ac:dyDescent="0.2">
      <c r="A64" t="s">
        <v>74</v>
      </c>
      <c r="C64" t="s">
        <v>75</v>
      </c>
    </row>
    <row r="65" spans="1:3" x14ac:dyDescent="0.2">
      <c r="C65" t="s">
        <v>76</v>
      </c>
    </row>
    <row r="66" spans="1:3" x14ac:dyDescent="0.2">
      <c r="C66" t="s">
        <v>77</v>
      </c>
    </row>
    <row r="67" spans="1:3" x14ac:dyDescent="0.2">
      <c r="C67" t="s">
        <v>78</v>
      </c>
    </row>
    <row r="68" spans="1:3" x14ac:dyDescent="0.2">
      <c r="C68" t="s">
        <v>82</v>
      </c>
    </row>
    <row r="69" spans="1:3" x14ac:dyDescent="0.2">
      <c r="C69" t="s">
        <v>83</v>
      </c>
    </row>
    <row r="70" spans="1:3" x14ac:dyDescent="0.2">
      <c r="B70">
        <v>4</v>
      </c>
      <c r="C70" t="s">
        <v>84</v>
      </c>
    </row>
    <row r="71" spans="1:3" x14ac:dyDescent="0.2">
      <c r="B71">
        <v>4</v>
      </c>
      <c r="C71" t="s">
        <v>85</v>
      </c>
    </row>
    <row r="72" spans="1:3" x14ac:dyDescent="0.2">
      <c r="C72" t="s">
        <v>173</v>
      </c>
    </row>
    <row r="73" spans="1:3" x14ac:dyDescent="0.2">
      <c r="C73" t="s">
        <v>92</v>
      </c>
    </row>
    <row r="74" spans="1:3" x14ac:dyDescent="0.2">
      <c r="C74" t="s">
        <v>93</v>
      </c>
    </row>
    <row r="75" spans="1:3" x14ac:dyDescent="0.2">
      <c r="C75" t="s">
        <v>95</v>
      </c>
    </row>
    <row r="78" spans="1:3" x14ac:dyDescent="0.2">
      <c r="A78" t="s">
        <v>94</v>
      </c>
      <c r="C78" t="s">
        <v>96</v>
      </c>
    </row>
    <row r="79" spans="1:3" x14ac:dyDescent="0.2">
      <c r="C79" t="s">
        <v>96</v>
      </c>
    </row>
    <row r="80" spans="1:3" x14ac:dyDescent="0.2">
      <c r="C80" t="s">
        <v>97</v>
      </c>
    </row>
    <row r="81" spans="1:3" x14ac:dyDescent="0.2">
      <c r="C81" t="s">
        <v>98</v>
      </c>
    </row>
    <row r="82" spans="1:3" x14ac:dyDescent="0.2">
      <c r="C82" t="s">
        <v>100</v>
      </c>
    </row>
    <row r="83" spans="1:3" x14ac:dyDescent="0.2">
      <c r="C83" t="s">
        <v>99</v>
      </c>
    </row>
    <row r="84" spans="1:3" x14ac:dyDescent="0.2">
      <c r="C84" t="s">
        <v>101</v>
      </c>
    </row>
    <row r="87" spans="1:3" x14ac:dyDescent="0.2">
      <c r="A87" t="s">
        <v>102</v>
      </c>
      <c r="B87">
        <v>4</v>
      </c>
      <c r="C87" t="s">
        <v>103</v>
      </c>
    </row>
    <row r="88" spans="1:3" x14ac:dyDescent="0.2">
      <c r="B88">
        <v>4</v>
      </c>
      <c r="C88" t="s">
        <v>129</v>
      </c>
    </row>
    <row r="89" spans="1:3" x14ac:dyDescent="0.2">
      <c r="B89">
        <v>6</v>
      </c>
      <c r="C89" t="s">
        <v>128</v>
      </c>
    </row>
    <row r="90" spans="1:3" x14ac:dyDescent="0.2">
      <c r="B90">
        <v>2</v>
      </c>
      <c r="C90" t="s">
        <v>104</v>
      </c>
    </row>
    <row r="91" spans="1:3" x14ac:dyDescent="0.2">
      <c r="B91">
        <v>1</v>
      </c>
      <c r="C91" t="s">
        <v>105</v>
      </c>
    </row>
    <row r="92" spans="1:3" x14ac:dyDescent="0.2">
      <c r="B92">
        <v>2</v>
      </c>
      <c r="C92" t="s">
        <v>106</v>
      </c>
    </row>
    <row r="93" spans="1:3" x14ac:dyDescent="0.2">
      <c r="B93">
        <v>6</v>
      </c>
      <c r="C93" t="s">
        <v>107</v>
      </c>
    </row>
    <row r="94" spans="1:3" x14ac:dyDescent="0.2">
      <c r="B94">
        <v>8</v>
      </c>
      <c r="C94" t="s">
        <v>108</v>
      </c>
    </row>
    <row r="97" spans="1:3" x14ac:dyDescent="0.2">
      <c r="A97" t="s">
        <v>109</v>
      </c>
      <c r="B97">
        <v>2</v>
      </c>
      <c r="C97" t="s">
        <v>110</v>
      </c>
    </row>
    <row r="98" spans="1:3" x14ac:dyDescent="0.2">
      <c r="B98">
        <v>4</v>
      </c>
      <c r="C98" t="s">
        <v>111</v>
      </c>
    </row>
    <row r="99" spans="1:3" x14ac:dyDescent="0.2">
      <c r="B99">
        <v>2</v>
      </c>
      <c r="C99" t="s">
        <v>112</v>
      </c>
    </row>
    <row r="100" spans="1:3" x14ac:dyDescent="0.2">
      <c r="B100">
        <v>4</v>
      </c>
      <c r="C100" t="s">
        <v>113</v>
      </c>
    </row>
    <row r="101" spans="1:3" x14ac:dyDescent="0.2">
      <c r="B101">
        <v>8</v>
      </c>
      <c r="C101" t="s">
        <v>114</v>
      </c>
    </row>
    <row r="102" spans="1:3" x14ac:dyDescent="0.2">
      <c r="B102">
        <v>2</v>
      </c>
      <c r="C102" t="s">
        <v>115</v>
      </c>
    </row>
    <row r="103" spans="1:3" x14ac:dyDescent="0.2">
      <c r="B103">
        <v>2</v>
      </c>
      <c r="C103" t="s">
        <v>116</v>
      </c>
    </row>
    <row r="104" spans="1:3" x14ac:dyDescent="0.2">
      <c r="B104">
        <v>2</v>
      </c>
      <c r="C104" t="s">
        <v>117</v>
      </c>
    </row>
    <row r="105" spans="1:3" x14ac:dyDescent="0.2">
      <c r="B105">
        <v>2</v>
      </c>
      <c r="C105" t="s">
        <v>118</v>
      </c>
    </row>
    <row r="106" spans="1:3" x14ac:dyDescent="0.2">
      <c r="B106">
        <v>5</v>
      </c>
      <c r="C106" t="s">
        <v>194</v>
      </c>
    </row>
    <row r="107" spans="1:3" x14ac:dyDescent="0.2">
      <c r="B107">
        <v>1</v>
      </c>
      <c r="C107" t="s">
        <v>195</v>
      </c>
    </row>
    <row r="110" spans="1:3" x14ac:dyDescent="0.2">
      <c r="A110" t="s">
        <v>192</v>
      </c>
      <c r="B110">
        <v>2</v>
      </c>
      <c r="C110" t="s">
        <v>119</v>
      </c>
    </row>
    <row r="111" spans="1:3" x14ac:dyDescent="0.2">
      <c r="B111">
        <v>2</v>
      </c>
      <c r="C111" t="s">
        <v>120</v>
      </c>
    </row>
    <row r="112" spans="1:3" x14ac:dyDescent="0.2">
      <c r="B112">
        <v>2</v>
      </c>
      <c r="C112" t="s">
        <v>123</v>
      </c>
    </row>
    <row r="113" spans="1:3" x14ac:dyDescent="0.2">
      <c r="B113">
        <v>2</v>
      </c>
      <c r="C113" t="s">
        <v>121</v>
      </c>
    </row>
    <row r="114" spans="1:3" x14ac:dyDescent="0.2">
      <c r="B114">
        <v>2</v>
      </c>
      <c r="C114" t="s">
        <v>124</v>
      </c>
    </row>
    <row r="115" spans="1:3" x14ac:dyDescent="0.2">
      <c r="C115" t="s">
        <v>125</v>
      </c>
    </row>
    <row r="116" spans="1:3" x14ac:dyDescent="0.2">
      <c r="C116" t="s">
        <v>126</v>
      </c>
    </row>
    <row r="117" spans="1:3" x14ac:dyDescent="0.2">
      <c r="C117" t="s">
        <v>127</v>
      </c>
    </row>
    <row r="118" spans="1:3" x14ac:dyDescent="0.2">
      <c r="C118" t="s">
        <v>193</v>
      </c>
    </row>
    <row r="119" spans="1:3" x14ac:dyDescent="0.2">
      <c r="C119" t="s">
        <v>138</v>
      </c>
    </row>
    <row r="120" spans="1:3" x14ac:dyDescent="0.2">
      <c r="B120">
        <v>2</v>
      </c>
      <c r="C120" t="s">
        <v>226</v>
      </c>
    </row>
    <row r="122" spans="1:3" x14ac:dyDescent="0.2">
      <c r="A122" t="s">
        <v>146</v>
      </c>
      <c r="B122">
        <v>2</v>
      </c>
      <c r="C122" t="s">
        <v>122</v>
      </c>
    </row>
    <row r="123" spans="1:3" x14ac:dyDescent="0.2">
      <c r="C123" t="s">
        <v>134</v>
      </c>
    </row>
    <row r="124" spans="1:3" x14ac:dyDescent="0.2">
      <c r="C124" t="s">
        <v>130</v>
      </c>
    </row>
    <row r="125" spans="1:3" x14ac:dyDescent="0.2">
      <c r="C125" t="s">
        <v>131</v>
      </c>
    </row>
    <row r="126" spans="1:3" x14ac:dyDescent="0.2">
      <c r="C126" t="s">
        <v>135</v>
      </c>
    </row>
    <row r="127" spans="1:3" x14ac:dyDescent="0.2">
      <c r="C127" t="s">
        <v>132</v>
      </c>
    </row>
    <row r="128" spans="1:3" x14ac:dyDescent="0.2">
      <c r="C128" t="s">
        <v>137</v>
      </c>
    </row>
    <row r="129" spans="1:3" x14ac:dyDescent="0.2">
      <c r="C129" t="s">
        <v>133</v>
      </c>
    </row>
    <row r="132" spans="1:3" x14ac:dyDescent="0.2">
      <c r="A132" t="s">
        <v>145</v>
      </c>
      <c r="C132" t="s">
        <v>139</v>
      </c>
    </row>
    <row r="133" spans="1:3" x14ac:dyDescent="0.2">
      <c r="C133" t="s">
        <v>136</v>
      </c>
    </row>
    <row r="134" spans="1:3" x14ac:dyDescent="0.2">
      <c r="C134" t="s">
        <v>140</v>
      </c>
    </row>
    <row r="135" spans="1:3" x14ac:dyDescent="0.2">
      <c r="C135" t="s">
        <v>141</v>
      </c>
    </row>
    <row r="136" spans="1:3" x14ac:dyDescent="0.2">
      <c r="C136" t="s">
        <v>142</v>
      </c>
    </row>
    <row r="137" spans="1:3" x14ac:dyDescent="0.2">
      <c r="C137" t="s">
        <v>143</v>
      </c>
    </row>
    <row r="138" spans="1:3" x14ac:dyDescent="0.2">
      <c r="C138" t="s">
        <v>144</v>
      </c>
    </row>
    <row r="139" spans="1:3" x14ac:dyDescent="0.2">
      <c r="C139" t="s">
        <v>147</v>
      </c>
    </row>
    <row r="140" spans="1:3" x14ac:dyDescent="0.2">
      <c r="C140" t="s">
        <v>148</v>
      </c>
    </row>
    <row r="141" spans="1:3" x14ac:dyDescent="0.2">
      <c r="C141" t="s">
        <v>149</v>
      </c>
    </row>
    <row r="142" spans="1:3" x14ac:dyDescent="0.2">
      <c r="C142" t="s">
        <v>150</v>
      </c>
    </row>
    <row r="145" spans="1:3" x14ac:dyDescent="0.2">
      <c r="A145" t="s">
        <v>151</v>
      </c>
      <c r="C145" t="s">
        <v>152</v>
      </c>
    </row>
    <row r="146" spans="1:3" x14ac:dyDescent="0.2">
      <c r="C146" t="s">
        <v>153</v>
      </c>
    </row>
    <row r="147" spans="1:3" x14ac:dyDescent="0.2">
      <c r="C147" t="s">
        <v>158</v>
      </c>
    </row>
    <row r="148" spans="1:3" x14ac:dyDescent="0.2">
      <c r="C148" t="s">
        <v>157</v>
      </c>
    </row>
    <row r="149" spans="1:3" x14ac:dyDescent="0.2">
      <c r="C149" t="s">
        <v>154</v>
      </c>
    </row>
    <row r="150" spans="1:3" x14ac:dyDescent="0.2">
      <c r="C150" t="s">
        <v>155</v>
      </c>
    </row>
    <row r="151" spans="1:3" x14ac:dyDescent="0.2">
      <c r="C151" t="s">
        <v>156</v>
      </c>
    </row>
    <row r="152" spans="1:3" x14ac:dyDescent="0.2">
      <c r="C152" t="s">
        <v>160</v>
      </c>
    </row>
    <row r="153" spans="1:3" x14ac:dyDescent="0.2">
      <c r="C153" t="s">
        <v>159</v>
      </c>
    </row>
    <row r="154" spans="1:3" x14ac:dyDescent="0.2">
      <c r="C154" t="s">
        <v>162</v>
      </c>
    </row>
    <row r="155" spans="1:3" x14ac:dyDescent="0.2">
      <c r="C155" t="s">
        <v>161</v>
      </c>
    </row>
    <row r="156" spans="1:3" x14ac:dyDescent="0.2">
      <c r="C156" t="s">
        <v>163</v>
      </c>
    </row>
    <row r="157" spans="1:3" x14ac:dyDescent="0.2">
      <c r="C157" t="s">
        <v>164</v>
      </c>
    </row>
    <row r="158" spans="1:3" x14ac:dyDescent="0.2">
      <c r="C158" t="s">
        <v>165</v>
      </c>
    </row>
    <row r="159" spans="1:3" x14ac:dyDescent="0.2">
      <c r="C159" t="s">
        <v>166</v>
      </c>
    </row>
    <row r="161" spans="1:3" x14ac:dyDescent="0.2">
      <c r="A161" t="s">
        <v>208</v>
      </c>
      <c r="C161" t="s">
        <v>209</v>
      </c>
    </row>
    <row r="162" spans="1:3" x14ac:dyDescent="0.2">
      <c r="C162" t="s">
        <v>210</v>
      </c>
    </row>
    <row r="163" spans="1:3" x14ac:dyDescent="0.2">
      <c r="C163" t="s">
        <v>211</v>
      </c>
    </row>
    <row r="164" spans="1:3" x14ac:dyDescent="0.2">
      <c r="C164" t="s">
        <v>212</v>
      </c>
    </row>
    <row r="166" spans="1:3" x14ac:dyDescent="0.2">
      <c r="A166" t="s">
        <v>174</v>
      </c>
      <c r="C166" t="s">
        <v>175</v>
      </c>
    </row>
    <row r="167" spans="1:3" x14ac:dyDescent="0.2">
      <c r="C167" t="s">
        <v>176</v>
      </c>
    </row>
    <row r="168" spans="1:3" x14ac:dyDescent="0.2">
      <c r="C168" t="s">
        <v>177</v>
      </c>
    </row>
    <row r="169" spans="1:3" x14ac:dyDescent="0.2">
      <c r="C169" t="s">
        <v>178</v>
      </c>
    </row>
    <row r="170" spans="1:3" x14ac:dyDescent="0.2">
      <c r="C170" t="s">
        <v>179</v>
      </c>
    </row>
    <row r="171" spans="1:3" x14ac:dyDescent="0.2">
      <c r="C171" t="s">
        <v>181</v>
      </c>
    </row>
    <row r="172" spans="1:3" x14ac:dyDescent="0.2">
      <c r="C172" t="s">
        <v>182</v>
      </c>
    </row>
    <row r="173" spans="1:3" x14ac:dyDescent="0.2">
      <c r="C173" t="s">
        <v>188</v>
      </c>
    </row>
    <row r="174" spans="1:3" x14ac:dyDescent="0.2">
      <c r="C174" t="s">
        <v>180</v>
      </c>
    </row>
    <row r="175" spans="1:3" x14ac:dyDescent="0.2">
      <c r="C175" t="s">
        <v>183</v>
      </c>
    </row>
    <row r="176" spans="1:3" x14ac:dyDescent="0.2">
      <c r="B176">
        <v>6</v>
      </c>
      <c r="C176" t="s">
        <v>186</v>
      </c>
    </row>
    <row r="177" spans="1:3" x14ac:dyDescent="0.2">
      <c r="C177" t="s">
        <v>185</v>
      </c>
    </row>
    <row r="178" spans="1:3" x14ac:dyDescent="0.2">
      <c r="C178" t="s">
        <v>184</v>
      </c>
    </row>
    <row r="179" spans="1:3" x14ac:dyDescent="0.2">
      <c r="C179" t="s">
        <v>187</v>
      </c>
    </row>
    <row r="182" spans="1:3" x14ac:dyDescent="0.2">
      <c r="C182" t="s">
        <v>189</v>
      </c>
    </row>
    <row r="183" spans="1:3" x14ac:dyDescent="0.2">
      <c r="C183" t="s">
        <v>190</v>
      </c>
    </row>
    <row r="184" spans="1:3" x14ac:dyDescent="0.2">
      <c r="C184" t="s">
        <v>191</v>
      </c>
    </row>
    <row r="185" spans="1:3" x14ac:dyDescent="0.2">
      <c r="C185" t="s">
        <v>198</v>
      </c>
    </row>
    <row r="186" spans="1:3" x14ac:dyDescent="0.2">
      <c r="C186" t="s">
        <v>197</v>
      </c>
    </row>
    <row r="187" spans="1:3" x14ac:dyDescent="0.2">
      <c r="C187" t="s">
        <v>199</v>
      </c>
    </row>
    <row r="188" spans="1:3" x14ac:dyDescent="0.2">
      <c r="C188" t="s">
        <v>224</v>
      </c>
    </row>
    <row r="190" spans="1:3" x14ac:dyDescent="0.2">
      <c r="A190" t="s">
        <v>225</v>
      </c>
      <c r="C190" t="s">
        <v>196</v>
      </c>
    </row>
    <row r="191" spans="1:3" x14ac:dyDescent="0.2">
      <c r="C191" t="s">
        <v>200</v>
      </c>
    </row>
    <row r="192" spans="1:3" x14ac:dyDescent="0.2">
      <c r="C192" t="s">
        <v>201</v>
      </c>
    </row>
    <row r="193" spans="1:3" x14ac:dyDescent="0.2">
      <c r="C193" t="s">
        <v>202</v>
      </c>
    </row>
    <row r="194" spans="1:3" x14ac:dyDescent="0.2">
      <c r="C194" t="s">
        <v>203</v>
      </c>
    </row>
    <row r="195" spans="1:3" x14ac:dyDescent="0.2">
      <c r="B195">
        <v>3</v>
      </c>
      <c r="C195" t="s">
        <v>231</v>
      </c>
    </row>
    <row r="196" spans="1:3" x14ac:dyDescent="0.2">
      <c r="C196" t="s">
        <v>204</v>
      </c>
    </row>
    <row r="198" spans="1:3" x14ac:dyDescent="0.2">
      <c r="A198" t="s">
        <v>214</v>
      </c>
      <c r="C198" t="s">
        <v>205</v>
      </c>
    </row>
    <row r="199" spans="1:3" x14ac:dyDescent="0.2">
      <c r="C199" t="s">
        <v>206</v>
      </c>
    </row>
    <row r="200" spans="1:3" x14ac:dyDescent="0.2">
      <c r="C200" t="s">
        <v>207</v>
      </c>
    </row>
    <row r="201" spans="1:3" x14ac:dyDescent="0.2">
      <c r="C201" t="s">
        <v>213</v>
      </c>
    </row>
    <row r="203" spans="1:3" x14ac:dyDescent="0.2">
      <c r="A203" t="s">
        <v>219</v>
      </c>
      <c r="C203" t="s">
        <v>215</v>
      </c>
    </row>
    <row r="204" spans="1:3" x14ac:dyDescent="0.2">
      <c r="C204" t="s">
        <v>216</v>
      </c>
    </row>
    <row r="205" spans="1:3" x14ac:dyDescent="0.2">
      <c r="C205" t="s">
        <v>217</v>
      </c>
    </row>
    <row r="206" spans="1:3" x14ac:dyDescent="0.2">
      <c r="C206" t="s">
        <v>218</v>
      </c>
    </row>
    <row r="208" spans="1:3" x14ac:dyDescent="0.2">
      <c r="A208" t="s">
        <v>223</v>
      </c>
      <c r="C208" t="s">
        <v>220</v>
      </c>
    </row>
    <row r="209" spans="3:3" x14ac:dyDescent="0.2">
      <c r="C209" t="s">
        <v>221</v>
      </c>
    </row>
    <row r="210" spans="3:3" x14ac:dyDescent="0.2">
      <c r="C210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topLeftCell="A50" workbookViewId="0">
      <selection activeCell="M62" sqref="M62"/>
    </sheetView>
  </sheetViews>
  <sheetFormatPr baseColWidth="10" defaultRowHeight="16" x14ac:dyDescent="0.2"/>
  <cols>
    <col min="2" max="2" width="85.33203125" customWidth="1"/>
  </cols>
  <sheetData>
    <row r="6" spans="2:2" ht="21" x14ac:dyDescent="0.25">
      <c r="B6" s="73" t="s">
        <v>709</v>
      </c>
    </row>
    <row r="8" spans="2:2" ht="18" x14ac:dyDescent="0.2">
      <c r="B8" s="73" t="s">
        <v>702</v>
      </c>
    </row>
    <row r="10" spans="2:2" ht="18" x14ac:dyDescent="0.2">
      <c r="B10" s="73" t="s">
        <v>703</v>
      </c>
    </row>
    <row r="12" spans="2:2" ht="18" x14ac:dyDescent="0.2">
      <c r="B12" s="73" t="s">
        <v>704</v>
      </c>
    </row>
    <row r="14" spans="2:2" ht="18" x14ac:dyDescent="0.2">
      <c r="B14" s="73" t="s">
        <v>705</v>
      </c>
    </row>
    <row r="16" spans="2:2" ht="20" x14ac:dyDescent="0.25">
      <c r="B16" s="73" t="s">
        <v>706</v>
      </c>
    </row>
    <row r="18" spans="2:10" ht="20" x14ac:dyDescent="0.25">
      <c r="B18" s="73" t="s">
        <v>707</v>
      </c>
    </row>
    <row r="20" spans="2:10" ht="18" x14ac:dyDescent="0.2">
      <c r="B20" s="74" t="s">
        <v>708</v>
      </c>
    </row>
    <row r="23" spans="2:10" x14ac:dyDescent="0.2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 x14ac:dyDescent="0.2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 x14ac:dyDescent="0.2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 x14ac:dyDescent="0.2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 x14ac:dyDescent="0.2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 x14ac:dyDescent="0.2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 x14ac:dyDescent="0.2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 x14ac:dyDescent="0.2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 x14ac:dyDescent="0.2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 x14ac:dyDescent="0.2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 x14ac:dyDescent="0.2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 x14ac:dyDescent="0.2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 x14ac:dyDescent="0.2">
      <c r="C41" t="s">
        <v>713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 x14ac:dyDescent="0.2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 x14ac:dyDescent="0.2">
      <c r="C44" t="s">
        <v>714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 x14ac:dyDescent="0.2">
      <c r="C46" t="s">
        <v>720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 x14ac:dyDescent="0.2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 x14ac:dyDescent="0.2">
      <c r="C48" t="s">
        <v>718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 x14ac:dyDescent="0.2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 x14ac:dyDescent="0.2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 x14ac:dyDescent="0.2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 x14ac:dyDescent="0.2">
      <c r="C55" t="s">
        <v>713</v>
      </c>
      <c r="D55" s="66">
        <f t="shared" ref="D55:M55" si="3">D58+14.7</f>
        <v>37.200000000000003</v>
      </c>
      <c r="E55" s="66">
        <f t="shared" si="3"/>
        <v>37.200000000000003</v>
      </c>
      <c r="F55" s="66">
        <f t="shared" si="3"/>
        <v>37.200000000000003</v>
      </c>
      <c r="G55" s="66">
        <f t="shared" si="3"/>
        <v>37.200000000000003</v>
      </c>
      <c r="H55" s="66">
        <f t="shared" si="3"/>
        <v>37.200000000000003</v>
      </c>
      <c r="I55" s="66">
        <f t="shared" si="3"/>
        <v>37.200000000000003</v>
      </c>
      <c r="J55" s="66">
        <f t="shared" si="3"/>
        <v>37.200000000000003</v>
      </c>
      <c r="K55" s="66">
        <f t="shared" si="3"/>
        <v>37.200000000000003</v>
      </c>
      <c r="L55" s="66">
        <f t="shared" si="3"/>
        <v>37.200000000000003</v>
      </c>
      <c r="M55" s="66">
        <f t="shared" si="3"/>
        <v>37.200000000000003</v>
      </c>
    </row>
    <row r="57" spans="3:13" x14ac:dyDescent="0.2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 x14ac:dyDescent="0.2">
      <c r="C58" t="s">
        <v>714</v>
      </c>
      <c r="D58" s="26">
        <v>22.5</v>
      </c>
      <c r="E58" s="26">
        <v>22.5</v>
      </c>
      <c r="F58" s="26">
        <v>22.5</v>
      </c>
      <c r="G58" s="26">
        <v>22.5</v>
      </c>
      <c r="H58" s="26">
        <v>22.5</v>
      </c>
      <c r="I58" s="26">
        <v>22.5</v>
      </c>
      <c r="J58" s="26">
        <v>22.5</v>
      </c>
      <c r="K58" s="26">
        <v>22.5</v>
      </c>
      <c r="L58" s="26">
        <v>22.5</v>
      </c>
      <c r="M58" s="26">
        <v>22.5</v>
      </c>
    </row>
    <row r="60" spans="3:13" x14ac:dyDescent="0.2">
      <c r="C60" t="s">
        <v>720</v>
      </c>
      <c r="D60" s="22">
        <f t="shared" ref="D60:M60" si="4">(144*D52*D54*D57*D53/(33000*(D53-1)))*((D55/D54)^((D53-1)/(D52*D53))-1)</f>
        <v>0.13674228357678189</v>
      </c>
      <c r="E60" s="22">
        <f t="shared" si="4"/>
        <v>0.27348456715356378</v>
      </c>
      <c r="F60" s="22">
        <f t="shared" si="4"/>
        <v>0.41022685073034565</v>
      </c>
      <c r="G60" s="22">
        <f t="shared" si="4"/>
        <v>0.54696913430712757</v>
      </c>
      <c r="H60" s="22">
        <f t="shared" si="4"/>
        <v>0.68371141788390943</v>
      </c>
      <c r="I60" s="22">
        <f t="shared" si="4"/>
        <v>0.8204537014606913</v>
      </c>
      <c r="J60" s="22">
        <f t="shared" si="4"/>
        <v>0.95719598503747305</v>
      </c>
      <c r="K60" s="22">
        <f t="shared" si="4"/>
        <v>1.0939382686142551</v>
      </c>
      <c r="L60" s="22">
        <f t="shared" si="4"/>
        <v>1.2306805521910371</v>
      </c>
      <c r="M60" s="22">
        <f t="shared" si="4"/>
        <v>1.3674228357678189</v>
      </c>
    </row>
    <row r="61" spans="3:13" x14ac:dyDescent="0.2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 x14ac:dyDescent="0.2">
      <c r="C62" t="s">
        <v>718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 x14ac:dyDescent="0.2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 x14ac:dyDescent="0.2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 x14ac:dyDescent="0.2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 x14ac:dyDescent="0.2">
      <c r="C69" t="s">
        <v>713</v>
      </c>
      <c r="D69" s="66">
        <f t="shared" ref="D69:M69" si="6">D72+14.7</f>
        <v>44.7</v>
      </c>
      <c r="E69" s="66">
        <f t="shared" si="6"/>
        <v>44.7</v>
      </c>
      <c r="F69" s="66">
        <f t="shared" si="6"/>
        <v>44.7</v>
      </c>
      <c r="G69" s="66">
        <f t="shared" si="6"/>
        <v>44.7</v>
      </c>
      <c r="H69" s="66">
        <f t="shared" si="6"/>
        <v>44.7</v>
      </c>
      <c r="I69" s="66">
        <f t="shared" si="6"/>
        <v>44.7</v>
      </c>
      <c r="J69" s="66">
        <f t="shared" si="6"/>
        <v>44.7</v>
      </c>
      <c r="K69" s="66">
        <f t="shared" si="6"/>
        <v>44.7</v>
      </c>
      <c r="L69" s="66">
        <f t="shared" si="6"/>
        <v>44.7</v>
      </c>
      <c r="M69" s="66">
        <f t="shared" si="6"/>
        <v>44.7</v>
      </c>
    </row>
    <row r="71" spans="3:13" x14ac:dyDescent="0.2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 x14ac:dyDescent="0.2">
      <c r="C72" t="s">
        <v>714</v>
      </c>
      <c r="D72" s="26">
        <v>30</v>
      </c>
      <c r="E72" s="26">
        <v>30</v>
      </c>
      <c r="F72" s="26">
        <v>30</v>
      </c>
      <c r="G72" s="26">
        <v>30</v>
      </c>
      <c r="H72" s="26">
        <v>30</v>
      </c>
      <c r="I72" s="26">
        <v>30</v>
      </c>
      <c r="J72" s="26">
        <v>30</v>
      </c>
      <c r="K72" s="26">
        <v>30</v>
      </c>
      <c r="L72" s="26">
        <v>30</v>
      </c>
      <c r="M72" s="26">
        <v>30</v>
      </c>
    </row>
    <row r="74" spans="3:13" x14ac:dyDescent="0.2">
      <c r="C74" t="s">
        <v>720</v>
      </c>
      <c r="D74" s="22">
        <f t="shared" ref="D74:M74" si="7">(144*D66*D68*D71*D67/(33000*(D67-1)))*((D69/D68)^((D67-1)/(D66*D67))-1)</f>
        <v>0.16844673623933493</v>
      </c>
      <c r="E74" s="22">
        <f t="shared" si="7"/>
        <v>0.33689347247866985</v>
      </c>
      <c r="F74" s="22">
        <f t="shared" si="7"/>
        <v>0.50534020871800478</v>
      </c>
      <c r="G74" s="22">
        <f t="shared" si="7"/>
        <v>0.67378694495733971</v>
      </c>
      <c r="H74" s="22">
        <f t="shared" si="7"/>
        <v>0.84223368119667463</v>
      </c>
      <c r="I74" s="22">
        <f t="shared" si="7"/>
        <v>1.0106804174360096</v>
      </c>
      <c r="J74" s="22">
        <f t="shared" si="7"/>
        <v>1.1791271536753443</v>
      </c>
      <c r="K74" s="22">
        <f t="shared" si="7"/>
        <v>1.3475738899146794</v>
      </c>
      <c r="L74" s="22">
        <f t="shared" si="7"/>
        <v>1.5160206261540143</v>
      </c>
      <c r="M74" s="22">
        <f t="shared" si="7"/>
        <v>1.6844673623933493</v>
      </c>
    </row>
    <row r="75" spans="3:13" x14ac:dyDescent="0.2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 x14ac:dyDescent="0.2">
      <c r="C76" t="s">
        <v>718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 x14ac:dyDescent="0.2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 x14ac:dyDescent="0.2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 x14ac:dyDescent="0.2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 x14ac:dyDescent="0.2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 x14ac:dyDescent="0.2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3" x14ac:dyDescent="0.2">
      <c r="C84" t="s">
        <v>949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3" x14ac:dyDescent="0.2">
      <c r="C85" t="s">
        <v>951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3" x14ac:dyDescent="0.2">
      <c r="C86" t="s">
        <v>950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workbookViewId="0">
      <selection activeCell="F81" sqref="F81"/>
    </sheetView>
  </sheetViews>
  <sheetFormatPr baseColWidth="10" defaultRowHeight="16" x14ac:dyDescent="0.2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 x14ac:dyDescent="0.2">
      <c r="B1" s="34" t="s">
        <v>399</v>
      </c>
      <c r="C1" s="39" t="s">
        <v>538</v>
      </c>
    </row>
    <row r="2" spans="2:6" x14ac:dyDescent="0.2">
      <c r="B2" s="68" t="s">
        <v>541</v>
      </c>
      <c r="C2" s="36" t="s">
        <v>396</v>
      </c>
    </row>
    <row r="3" spans="2:6" x14ac:dyDescent="0.2">
      <c r="C3" s="37" t="s">
        <v>574</v>
      </c>
    </row>
    <row r="4" spans="2:6" x14ac:dyDescent="0.2">
      <c r="C4" s="40" t="s">
        <v>575</v>
      </c>
    </row>
    <row r="5" spans="2:6" x14ac:dyDescent="0.2">
      <c r="C5" s="66"/>
    </row>
    <row r="6" spans="2:6" x14ac:dyDescent="0.2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 x14ac:dyDescent="0.2">
      <c r="B7" s="34"/>
    </row>
    <row r="8" spans="2:6" x14ac:dyDescent="0.2">
      <c r="B8" t="s">
        <v>401</v>
      </c>
      <c r="C8" t="s">
        <v>500</v>
      </c>
      <c r="D8" t="s">
        <v>555</v>
      </c>
      <c r="E8" t="s">
        <v>401</v>
      </c>
    </row>
    <row r="9" spans="2:6" x14ac:dyDescent="0.2">
      <c r="B9" t="s">
        <v>401</v>
      </c>
      <c r="C9" s="37" t="s">
        <v>568</v>
      </c>
      <c r="D9" s="37" t="s">
        <v>570</v>
      </c>
      <c r="E9" t="s">
        <v>571</v>
      </c>
    </row>
    <row r="10" spans="2:6" x14ac:dyDescent="0.2">
      <c r="B10" t="s">
        <v>402</v>
      </c>
      <c r="C10" t="s">
        <v>442</v>
      </c>
    </row>
    <row r="11" spans="2:6" x14ac:dyDescent="0.2">
      <c r="B11" t="s">
        <v>403</v>
      </c>
      <c r="C11" t="s">
        <v>424</v>
      </c>
    </row>
    <row r="13" spans="2:6" x14ac:dyDescent="0.2">
      <c r="B13" t="s">
        <v>66</v>
      </c>
      <c r="C13" t="s">
        <v>425</v>
      </c>
    </row>
    <row r="14" spans="2:6" x14ac:dyDescent="0.2">
      <c r="B14" t="s">
        <v>572</v>
      </c>
      <c r="C14" s="37" t="s">
        <v>569</v>
      </c>
      <c r="D14" s="37" t="s">
        <v>573</v>
      </c>
    </row>
    <row r="15" spans="2:6" x14ac:dyDescent="0.2">
      <c r="B15" s="67" t="s">
        <v>412</v>
      </c>
      <c r="C15" s="37" t="s">
        <v>426</v>
      </c>
      <c r="D15" s="37" t="s">
        <v>483</v>
      </c>
    </row>
    <row r="16" spans="2:6" x14ac:dyDescent="0.2">
      <c r="B16" t="s">
        <v>404</v>
      </c>
      <c r="C16" t="s">
        <v>427</v>
      </c>
    </row>
    <row r="18" spans="2:5" x14ac:dyDescent="0.2">
      <c r="B18" t="s">
        <v>406</v>
      </c>
      <c r="C18" t="s">
        <v>437</v>
      </c>
      <c r="E18" t="s">
        <v>546</v>
      </c>
    </row>
    <row r="19" spans="2:5" x14ac:dyDescent="0.2">
      <c r="B19" t="s">
        <v>407</v>
      </c>
      <c r="C19" s="37" t="s">
        <v>439</v>
      </c>
      <c r="D19" s="37" t="s">
        <v>556</v>
      </c>
    </row>
    <row r="20" spans="2:5" x14ac:dyDescent="0.2">
      <c r="B20" t="s">
        <v>408</v>
      </c>
      <c r="C20" t="s">
        <v>429</v>
      </c>
    </row>
    <row r="21" spans="2:5" x14ac:dyDescent="0.2">
      <c r="B21" t="s">
        <v>482</v>
      </c>
      <c r="C21" t="s">
        <v>432</v>
      </c>
    </row>
    <row r="22" spans="2:5" x14ac:dyDescent="0.2">
      <c r="B22" t="s">
        <v>410</v>
      </c>
      <c r="C22" s="36" t="s">
        <v>433</v>
      </c>
      <c r="D22" s="36" t="s">
        <v>558</v>
      </c>
      <c r="E22" t="s">
        <v>510</v>
      </c>
    </row>
    <row r="23" spans="2:5" x14ac:dyDescent="0.2">
      <c r="B23" s="67" t="s">
        <v>409</v>
      </c>
      <c r="C23" s="37" t="s">
        <v>430</v>
      </c>
      <c r="D23" s="37" t="s">
        <v>481</v>
      </c>
    </row>
    <row r="25" spans="2:5" x14ac:dyDescent="0.2">
      <c r="B25" t="s">
        <v>411</v>
      </c>
      <c r="C25" t="s">
        <v>438</v>
      </c>
      <c r="E25" t="s">
        <v>547</v>
      </c>
    </row>
    <row r="26" spans="2:5" x14ac:dyDescent="0.2">
      <c r="B26" t="s">
        <v>407</v>
      </c>
      <c r="C26" s="37" t="s">
        <v>440</v>
      </c>
      <c r="D26" s="37" t="s">
        <v>557</v>
      </c>
    </row>
    <row r="27" spans="2:5" x14ac:dyDescent="0.2">
      <c r="B27" t="s">
        <v>408</v>
      </c>
      <c r="C27" t="s">
        <v>434</v>
      </c>
    </row>
    <row r="28" spans="2:5" x14ac:dyDescent="0.2">
      <c r="B28" t="s">
        <v>482</v>
      </c>
      <c r="C28" t="s">
        <v>435</v>
      </c>
    </row>
    <row r="29" spans="2:5" x14ac:dyDescent="0.2">
      <c r="B29" t="s">
        <v>410</v>
      </c>
      <c r="C29" s="36" t="s">
        <v>436</v>
      </c>
      <c r="D29" s="36" t="s">
        <v>559</v>
      </c>
      <c r="E29" t="s">
        <v>510</v>
      </c>
    </row>
    <row r="30" spans="2:5" x14ac:dyDescent="0.2">
      <c r="B30" s="67" t="s">
        <v>409</v>
      </c>
      <c r="C30" s="37" t="s">
        <v>431</v>
      </c>
      <c r="D30" s="37" t="s">
        <v>480</v>
      </c>
    </row>
    <row r="32" spans="2:5" x14ac:dyDescent="0.2">
      <c r="B32" s="67" t="s">
        <v>471</v>
      </c>
      <c r="C32" t="s">
        <v>423</v>
      </c>
      <c r="D32" t="s">
        <v>474</v>
      </c>
    </row>
    <row r="33" spans="2:5" x14ac:dyDescent="0.2">
      <c r="B33" s="67" t="s">
        <v>472</v>
      </c>
      <c r="C33" t="s">
        <v>441</v>
      </c>
      <c r="D33" t="s">
        <v>475</v>
      </c>
    </row>
    <row r="35" spans="2:5" x14ac:dyDescent="0.2">
      <c r="B35" t="s">
        <v>535</v>
      </c>
      <c r="C35" s="39" t="s">
        <v>536</v>
      </c>
      <c r="D35" s="39" t="s">
        <v>548</v>
      </c>
      <c r="E35" t="s">
        <v>537</v>
      </c>
    </row>
    <row r="36" spans="2:5" x14ac:dyDescent="0.2">
      <c r="B36" t="s">
        <v>534</v>
      </c>
      <c r="C36" s="37" t="s">
        <v>428</v>
      </c>
      <c r="D36" s="37" t="s">
        <v>553</v>
      </c>
    </row>
    <row r="38" spans="2:5" x14ac:dyDescent="0.2">
      <c r="B38" t="s">
        <v>530</v>
      </c>
      <c r="C38" t="s">
        <v>501</v>
      </c>
    </row>
    <row r="39" spans="2:5" x14ac:dyDescent="0.2">
      <c r="B39" t="s">
        <v>531</v>
      </c>
      <c r="C39" t="s">
        <v>502</v>
      </c>
      <c r="E39" t="s">
        <v>533</v>
      </c>
    </row>
    <row r="40" spans="2:5" x14ac:dyDescent="0.2">
      <c r="B40" t="s">
        <v>167</v>
      </c>
      <c r="C40" s="37" t="s">
        <v>503</v>
      </c>
      <c r="D40" s="37" t="s">
        <v>554</v>
      </c>
      <c r="E40" t="s">
        <v>511</v>
      </c>
    </row>
    <row r="41" spans="2:5" x14ac:dyDescent="0.2">
      <c r="B41" s="67" t="s">
        <v>532</v>
      </c>
      <c r="C41" t="s">
        <v>504</v>
      </c>
      <c r="D41" t="s">
        <v>505</v>
      </c>
    </row>
    <row r="43" spans="2:5" x14ac:dyDescent="0.2">
      <c r="B43" t="s">
        <v>405</v>
      </c>
      <c r="C43" t="s">
        <v>469</v>
      </c>
    </row>
    <row r="44" spans="2:5" x14ac:dyDescent="0.2">
      <c r="B44" s="67" t="s">
        <v>470</v>
      </c>
      <c r="C44" t="s">
        <v>473</v>
      </c>
      <c r="D44" t="s">
        <v>476</v>
      </c>
    </row>
    <row r="45" spans="2:5" x14ac:dyDescent="0.2">
      <c r="B45" s="67" t="s">
        <v>498</v>
      </c>
      <c r="C45" s="66" t="s">
        <v>422</v>
      </c>
      <c r="D45" t="s">
        <v>499</v>
      </c>
    </row>
    <row r="47" spans="2:5" x14ac:dyDescent="0.2">
      <c r="B47" s="34" t="s">
        <v>413</v>
      </c>
    </row>
    <row r="49" spans="2:5" x14ac:dyDescent="0.2">
      <c r="B49" s="67" t="s">
        <v>414</v>
      </c>
      <c r="C49" s="40" t="s">
        <v>443</v>
      </c>
      <c r="D49" s="40" t="s">
        <v>477</v>
      </c>
    </row>
    <row r="50" spans="2:5" x14ac:dyDescent="0.2">
      <c r="B50" s="67" t="s">
        <v>415</v>
      </c>
      <c r="C50" s="40" t="s">
        <v>444</v>
      </c>
      <c r="D50" s="40" t="s">
        <v>478</v>
      </c>
    </row>
    <row r="51" spans="2:5" x14ac:dyDescent="0.2">
      <c r="B51" s="67" t="s">
        <v>463</v>
      </c>
      <c r="C51" s="40" t="s">
        <v>462</v>
      </c>
      <c r="D51" s="40" t="s">
        <v>479</v>
      </c>
    </row>
    <row r="53" spans="2:5" x14ac:dyDescent="0.2">
      <c r="B53" t="s">
        <v>406</v>
      </c>
      <c r="C53" t="s">
        <v>445</v>
      </c>
      <c r="E53" t="s">
        <v>544</v>
      </c>
    </row>
    <row r="54" spans="2:5" x14ac:dyDescent="0.2">
      <c r="B54" t="s">
        <v>416</v>
      </c>
      <c r="C54" s="38" t="s">
        <v>447</v>
      </c>
      <c r="D54" s="36" t="s">
        <v>560</v>
      </c>
      <c r="E54" t="s">
        <v>510</v>
      </c>
    </row>
    <row r="55" spans="2:5" x14ac:dyDescent="0.2">
      <c r="B55" t="s">
        <v>417</v>
      </c>
      <c r="C55" s="38" t="s">
        <v>448</v>
      </c>
      <c r="D55" s="36" t="s">
        <v>561</v>
      </c>
      <c r="E55" t="s">
        <v>510</v>
      </c>
    </row>
    <row r="56" spans="2:5" x14ac:dyDescent="0.2">
      <c r="B56" t="s">
        <v>418</v>
      </c>
      <c r="C56" s="35" t="s">
        <v>449</v>
      </c>
    </row>
    <row r="57" spans="2:5" x14ac:dyDescent="0.2">
      <c r="B57" t="s">
        <v>419</v>
      </c>
      <c r="C57" s="35" t="s">
        <v>450</v>
      </c>
    </row>
    <row r="59" spans="2:5" x14ac:dyDescent="0.2">
      <c r="B59" t="s">
        <v>411</v>
      </c>
      <c r="C59" t="s">
        <v>446</v>
      </c>
      <c r="E59" t="s">
        <v>545</v>
      </c>
    </row>
    <row r="60" spans="2:5" x14ac:dyDescent="0.2">
      <c r="B60" t="s">
        <v>416</v>
      </c>
      <c r="C60" s="36" t="s">
        <v>451</v>
      </c>
      <c r="D60" s="36" t="s">
        <v>562</v>
      </c>
      <c r="E60" t="s">
        <v>510</v>
      </c>
    </row>
    <row r="61" spans="2:5" x14ac:dyDescent="0.2">
      <c r="B61" t="s">
        <v>417</v>
      </c>
      <c r="C61" s="36" t="s">
        <v>452</v>
      </c>
      <c r="D61" s="36" t="s">
        <v>563</v>
      </c>
      <c r="E61" t="s">
        <v>510</v>
      </c>
    </row>
    <row r="62" spans="2:5" x14ac:dyDescent="0.2">
      <c r="B62" t="s">
        <v>418</v>
      </c>
      <c r="C62" t="s">
        <v>453</v>
      </c>
    </row>
    <row r="63" spans="2:5" x14ac:dyDescent="0.2">
      <c r="B63" t="s">
        <v>419</v>
      </c>
      <c r="C63" t="s">
        <v>454</v>
      </c>
    </row>
    <row r="65" spans="2:5" x14ac:dyDescent="0.2">
      <c r="B65" t="s">
        <v>420</v>
      </c>
      <c r="C65" s="36" t="s">
        <v>455</v>
      </c>
      <c r="D65" s="36" t="s">
        <v>564</v>
      </c>
      <c r="E65" t="s">
        <v>510</v>
      </c>
    </row>
    <row r="66" spans="2:5" x14ac:dyDescent="0.2">
      <c r="B66" s="67" t="s">
        <v>549</v>
      </c>
      <c r="C66" t="s">
        <v>468</v>
      </c>
      <c r="D66" t="s">
        <v>491</v>
      </c>
    </row>
    <row r="67" spans="2:5" x14ac:dyDescent="0.2">
      <c r="B67" t="s">
        <v>421</v>
      </c>
      <c r="C67" s="36" t="s">
        <v>456</v>
      </c>
      <c r="D67" s="36" t="s">
        <v>565</v>
      </c>
      <c r="E67" t="s">
        <v>510</v>
      </c>
    </row>
    <row r="69" spans="2:5" x14ac:dyDescent="0.2">
      <c r="B69" t="s">
        <v>457</v>
      </c>
      <c r="C69" t="s">
        <v>458</v>
      </c>
    </row>
    <row r="70" spans="2:5" x14ac:dyDescent="0.2">
      <c r="B70" s="67" t="s">
        <v>461</v>
      </c>
      <c r="C70" t="s">
        <v>464</v>
      </c>
      <c r="D70" t="s">
        <v>539</v>
      </c>
    </row>
    <row r="71" spans="2:5" x14ac:dyDescent="0.2">
      <c r="B71" s="67" t="s">
        <v>461</v>
      </c>
      <c r="C71" s="40" t="s">
        <v>464</v>
      </c>
      <c r="D71" s="40" t="s">
        <v>484</v>
      </c>
    </row>
    <row r="72" spans="2:5" x14ac:dyDescent="0.2">
      <c r="B72" t="s">
        <v>459</v>
      </c>
      <c r="C72" t="s">
        <v>460</v>
      </c>
    </row>
    <row r="73" spans="2:5" x14ac:dyDescent="0.2">
      <c r="B73" s="67" t="s">
        <v>465</v>
      </c>
      <c r="C73" s="66" t="s">
        <v>466</v>
      </c>
      <c r="D73" t="s">
        <v>540</v>
      </c>
    </row>
    <row r="74" spans="2:5" x14ac:dyDescent="0.2">
      <c r="B74" s="67" t="s">
        <v>465</v>
      </c>
      <c r="C74" s="40" t="s">
        <v>466</v>
      </c>
      <c r="D74" s="40" t="s">
        <v>485</v>
      </c>
    </row>
    <row r="75" spans="2:5" x14ac:dyDescent="0.2">
      <c r="B75" s="67" t="s">
        <v>467</v>
      </c>
      <c r="C75" s="40" t="s">
        <v>487</v>
      </c>
      <c r="D75" s="40" t="s">
        <v>488</v>
      </c>
    </row>
    <row r="76" spans="2:5" x14ac:dyDescent="0.2">
      <c r="B76" s="67" t="s">
        <v>467</v>
      </c>
      <c r="C76" s="66" t="s">
        <v>487</v>
      </c>
      <c r="D76" t="s">
        <v>552</v>
      </c>
    </row>
    <row r="77" spans="2:5" x14ac:dyDescent="0.2">
      <c r="B77" s="67" t="s">
        <v>593</v>
      </c>
      <c r="C77" s="40" t="s">
        <v>592</v>
      </c>
      <c r="D77" s="40" t="s">
        <v>594</v>
      </c>
      <c r="E77" t="s">
        <v>595</v>
      </c>
    </row>
    <row r="79" spans="2:5" x14ac:dyDescent="0.2">
      <c r="B79" s="67" t="s">
        <v>486</v>
      </c>
      <c r="C79" t="s">
        <v>489</v>
      </c>
      <c r="D79" t="s">
        <v>490</v>
      </c>
    </row>
    <row r="80" spans="2:5" x14ac:dyDescent="0.2">
      <c r="B80" s="67" t="s">
        <v>550</v>
      </c>
      <c r="C80" t="s">
        <v>493</v>
      </c>
      <c r="D80" t="s">
        <v>492</v>
      </c>
    </row>
    <row r="81" spans="2:5" x14ac:dyDescent="0.2">
      <c r="B81" s="67" t="s">
        <v>551</v>
      </c>
      <c r="C81" t="s">
        <v>494</v>
      </c>
      <c r="D81" t="s">
        <v>495</v>
      </c>
    </row>
    <row r="82" spans="2:5" x14ac:dyDescent="0.2">
      <c r="B82" s="67" t="s">
        <v>24</v>
      </c>
      <c r="C82" t="s">
        <v>496</v>
      </c>
      <c r="D82" t="s">
        <v>497</v>
      </c>
    </row>
    <row r="83" spans="2:5" x14ac:dyDescent="0.2">
      <c r="B83" s="67" t="s">
        <v>597</v>
      </c>
      <c r="C83" t="s">
        <v>598</v>
      </c>
      <c r="D83" t="s">
        <v>599</v>
      </c>
    </row>
    <row r="85" spans="2:5" x14ac:dyDescent="0.2">
      <c r="B85" t="s">
        <v>506</v>
      </c>
      <c r="C85" t="s">
        <v>460</v>
      </c>
      <c r="D85" t="s">
        <v>508</v>
      </c>
    </row>
    <row r="86" spans="2:5" x14ac:dyDescent="0.2">
      <c r="B86" s="67" t="s">
        <v>600</v>
      </c>
      <c r="C86" t="s">
        <v>601</v>
      </c>
      <c r="D86" t="s">
        <v>602</v>
      </c>
    </row>
    <row r="87" spans="2:5" x14ac:dyDescent="0.2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 x14ac:dyDescent="0.2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 x14ac:dyDescent="0.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 x14ac:dyDescent="0.25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 x14ac:dyDescent="0.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 x14ac:dyDescent="0.25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 x14ac:dyDescent="0.25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 x14ac:dyDescent="0.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 x14ac:dyDescent="0.25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 x14ac:dyDescent="0.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 x14ac:dyDescent="0.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 x14ac:dyDescent="0.25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 x14ac:dyDescent="0.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 x14ac:dyDescent="0.25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 x14ac:dyDescent="0.25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 x14ac:dyDescent="0.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 x14ac:dyDescent="0.25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 x14ac:dyDescent="0.2">
      <c r="AA18" s="34" t="s">
        <v>605</v>
      </c>
    </row>
    <row r="19" spans="27:31" x14ac:dyDescent="0.2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 x14ac:dyDescent="0.2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 x14ac:dyDescent="0.2">
      <c r="AC22" t="s">
        <v>631</v>
      </c>
      <c r="AD22" s="3">
        <v>9</v>
      </c>
      <c r="AE22" s="3" t="s">
        <v>651</v>
      </c>
    </row>
    <row r="24" spans="27:31" x14ac:dyDescent="0.2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 x14ac:dyDescent="0.2">
      <c r="AC25" t="s">
        <v>609</v>
      </c>
      <c r="AD25" s="3">
        <v>13</v>
      </c>
      <c r="AE25" s="3" t="s">
        <v>653</v>
      </c>
    </row>
    <row r="26" spans="27:31" x14ac:dyDescent="0.2">
      <c r="AC26" t="s">
        <v>607</v>
      </c>
      <c r="AD26" s="3">
        <v>19</v>
      </c>
      <c r="AE26" s="3" t="s">
        <v>656</v>
      </c>
    </row>
    <row r="27" spans="27:31" x14ac:dyDescent="0.2">
      <c r="AC27" t="s">
        <v>608</v>
      </c>
      <c r="AD27" s="3">
        <v>21</v>
      </c>
      <c r="AE27" s="3" t="s">
        <v>657</v>
      </c>
    </row>
    <row r="29" spans="27:31" x14ac:dyDescent="0.2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 x14ac:dyDescent="0.2">
      <c r="AC30" t="s">
        <v>609</v>
      </c>
      <c r="AD30" s="3">
        <v>17</v>
      </c>
      <c r="AE30" s="3" t="s">
        <v>655</v>
      </c>
    </row>
    <row r="31" spans="27:31" x14ac:dyDescent="0.2">
      <c r="AC31" t="s">
        <v>607</v>
      </c>
      <c r="AD31" s="3">
        <v>23</v>
      </c>
      <c r="AE31" s="3" t="s">
        <v>658</v>
      </c>
    </row>
    <row r="32" spans="27:31" x14ac:dyDescent="0.2">
      <c r="AC32" t="s">
        <v>608</v>
      </c>
      <c r="AD32" s="3">
        <v>25</v>
      </c>
      <c r="AE32" s="3" t="s">
        <v>659</v>
      </c>
    </row>
    <row r="34" spans="27:32" x14ac:dyDescent="0.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 x14ac:dyDescent="0.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 x14ac:dyDescent="0.2">
      <c r="AC37" t="s">
        <v>636</v>
      </c>
      <c r="AD37" s="3">
        <v>10</v>
      </c>
      <c r="AE37" s="3" t="s">
        <v>662</v>
      </c>
    </row>
    <row r="38" spans="27:32" x14ac:dyDescent="0.2">
      <c r="AC38" t="s">
        <v>637</v>
      </c>
      <c r="AD38" s="3">
        <v>12</v>
      </c>
      <c r="AE38" s="3" t="s">
        <v>663</v>
      </c>
    </row>
    <row r="39" spans="27:32" x14ac:dyDescent="0.2">
      <c r="AC39" t="s">
        <v>633</v>
      </c>
      <c r="AD39" s="3">
        <v>14</v>
      </c>
      <c r="AE39" s="3" t="s">
        <v>664</v>
      </c>
    </row>
    <row r="40" spans="27:32" x14ac:dyDescent="0.2">
      <c r="AC40" t="s">
        <v>638</v>
      </c>
      <c r="AD40" s="3">
        <v>16</v>
      </c>
      <c r="AE40" s="3" t="s">
        <v>665</v>
      </c>
    </row>
    <row r="42" spans="27:32" x14ac:dyDescent="0.2">
      <c r="AA42" t="s">
        <v>634</v>
      </c>
      <c r="AC42" t="s">
        <v>636</v>
      </c>
      <c r="AD42" s="3">
        <v>18</v>
      </c>
      <c r="AE42" s="3" t="s">
        <v>669</v>
      </c>
    </row>
    <row r="43" spans="27:32" x14ac:dyDescent="0.2">
      <c r="AA43" t="s">
        <v>634</v>
      </c>
      <c r="AC43" t="s">
        <v>635</v>
      </c>
      <c r="AD43" s="3">
        <v>20</v>
      </c>
      <c r="AE43" s="3" t="s">
        <v>670</v>
      </c>
    </row>
    <row r="44" spans="27:32" x14ac:dyDescent="0.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 x14ac:dyDescent="0.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 x14ac:dyDescent="0.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 x14ac:dyDescent="0.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 x14ac:dyDescent="0.2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 x14ac:dyDescent="0.2"/>
  <cols>
    <col min="2" max="2" width="18.83203125" customWidth="1"/>
    <col min="4" max="4" width="11.6640625" customWidth="1"/>
    <col min="7" max="8" width="10.83203125" style="3"/>
  </cols>
  <sheetData>
    <row r="2" spans="2:11" x14ac:dyDescent="0.2">
      <c r="B2" t="s">
        <v>575</v>
      </c>
    </row>
    <row r="5" spans="2:11" x14ac:dyDescent="0.2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 x14ac:dyDescent="0.2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 x14ac:dyDescent="0.2">
      <c r="G7" s="3" t="s">
        <v>678</v>
      </c>
      <c r="H7" s="3" t="s">
        <v>677</v>
      </c>
    </row>
    <row r="8" spans="2:11" x14ac:dyDescent="0.2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 x14ac:dyDescent="0.2">
      <c r="G9" s="3" t="s">
        <v>691</v>
      </c>
      <c r="H9" s="3">
        <v>21</v>
      </c>
    </row>
    <row r="10" spans="2:11" x14ac:dyDescent="0.2">
      <c r="G10" s="3" t="s">
        <v>672</v>
      </c>
      <c r="H10" s="3">
        <v>20</v>
      </c>
    </row>
    <row r="11" spans="2:11" x14ac:dyDescent="0.2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 x14ac:dyDescent="0.2">
      <c r="G12" s="3" t="s">
        <v>635</v>
      </c>
      <c r="H12" s="3" t="s">
        <v>661</v>
      </c>
      <c r="K12" s="3"/>
    </row>
    <row r="13" spans="2:11" x14ac:dyDescent="0.2">
      <c r="G13" s="3" t="s">
        <v>636</v>
      </c>
      <c r="H13" s="3" t="s">
        <v>662</v>
      </c>
      <c r="K13" s="3"/>
    </row>
    <row r="14" spans="2:11" x14ac:dyDescent="0.2">
      <c r="G14" s="3" t="s">
        <v>637</v>
      </c>
      <c r="H14" s="3" t="s">
        <v>663</v>
      </c>
      <c r="K14" s="3"/>
    </row>
    <row r="15" spans="2:11" x14ac:dyDescent="0.2">
      <c r="G15" s="3" t="s">
        <v>633</v>
      </c>
      <c r="H15" s="3" t="s">
        <v>664</v>
      </c>
      <c r="K15" s="3"/>
    </row>
    <row r="16" spans="2:11" x14ac:dyDescent="0.2">
      <c r="G16" s="3" t="s">
        <v>638</v>
      </c>
      <c r="H16" s="3" t="s">
        <v>665</v>
      </c>
      <c r="K16" s="3"/>
    </row>
    <row r="17" spans="2:8" x14ac:dyDescent="0.2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 x14ac:dyDescent="0.2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 x14ac:dyDescent="0.2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 x14ac:dyDescent="0.2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 x14ac:dyDescent="0.2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 x14ac:dyDescent="0.2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 x14ac:dyDescent="0.2">
      <c r="G23" s="3" t="s">
        <v>680</v>
      </c>
      <c r="H23" s="3" t="s">
        <v>652</v>
      </c>
    </row>
    <row r="24" spans="2:8" x14ac:dyDescent="0.2">
      <c r="G24" s="3" t="s">
        <v>681</v>
      </c>
      <c r="H24" s="3" t="s">
        <v>651</v>
      </c>
    </row>
    <row r="25" spans="2:8" x14ac:dyDescent="0.2">
      <c r="B25" s="10" t="s">
        <v>584</v>
      </c>
      <c r="D25" s="3" t="s">
        <v>585</v>
      </c>
      <c r="E25" s="3">
        <v>5</v>
      </c>
      <c r="F25" s="3">
        <v>5</v>
      </c>
    </row>
    <row r="26" spans="2:8" x14ac:dyDescent="0.2">
      <c r="G26" s="3" t="s">
        <v>682</v>
      </c>
      <c r="H26" s="3" t="s">
        <v>659</v>
      </c>
    </row>
    <row r="27" spans="2:8" x14ac:dyDescent="0.2">
      <c r="G27" s="3" t="s">
        <v>683</v>
      </c>
      <c r="H27" s="3" t="s">
        <v>658</v>
      </c>
    </row>
    <row r="28" spans="2:8" x14ac:dyDescent="0.2">
      <c r="G28" s="3" t="s">
        <v>661</v>
      </c>
      <c r="H28" s="3" t="s">
        <v>657</v>
      </c>
    </row>
    <row r="29" spans="2:8" x14ac:dyDescent="0.2">
      <c r="B29" s="10" t="s">
        <v>576</v>
      </c>
      <c r="D29" s="3" t="s">
        <v>529</v>
      </c>
      <c r="E29" s="3">
        <v>2</v>
      </c>
      <c r="F29" s="3">
        <v>3</v>
      </c>
    </row>
    <row r="30" spans="2:8" x14ac:dyDescent="0.2">
      <c r="B30" s="10" t="s">
        <v>587</v>
      </c>
      <c r="D30" s="3" t="s">
        <v>529</v>
      </c>
      <c r="E30" s="3">
        <v>2</v>
      </c>
      <c r="F30" s="3">
        <v>3</v>
      </c>
    </row>
    <row r="31" spans="2:8" x14ac:dyDescent="0.2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14" workbookViewId="0">
      <selection activeCell="G43" sqref="G43"/>
    </sheetView>
  </sheetViews>
  <sheetFormatPr baseColWidth="10" defaultRowHeight="16" x14ac:dyDescent="0.2"/>
  <sheetData>
    <row r="1" spans="1:2" x14ac:dyDescent="0.2">
      <c r="A1" t="s">
        <v>1012</v>
      </c>
    </row>
    <row r="2" spans="1:2" x14ac:dyDescent="0.2">
      <c r="B2" t="s">
        <v>1017</v>
      </c>
    </row>
    <row r="4" spans="1:2" x14ac:dyDescent="0.2">
      <c r="B4" t="s">
        <v>1015</v>
      </c>
    </row>
    <row r="5" spans="1:2" ht="20" x14ac:dyDescent="0.25">
      <c r="B5" s="73" t="s">
        <v>1014</v>
      </c>
    </row>
    <row r="6" spans="1:2" ht="18" x14ac:dyDescent="0.2">
      <c r="B6" s="73"/>
    </row>
    <row r="7" spans="1:2" x14ac:dyDescent="0.2">
      <c r="B7" t="s">
        <v>1013</v>
      </c>
    </row>
    <row r="8" spans="1:2" ht="21" x14ac:dyDescent="0.25">
      <c r="B8" s="73" t="s">
        <v>1016</v>
      </c>
    </row>
    <row r="20" spans="2:7" ht="51" x14ac:dyDescent="0.2">
      <c r="C20" s="7" t="s">
        <v>1023</v>
      </c>
      <c r="D20" s="7" t="s">
        <v>1028</v>
      </c>
      <c r="E20" s="7" t="s">
        <v>1063</v>
      </c>
      <c r="F20" s="7" t="s">
        <v>1064</v>
      </c>
    </row>
    <row r="21" spans="2:7" x14ac:dyDescent="0.2">
      <c r="B21" t="s">
        <v>859</v>
      </c>
      <c r="C21" s="3">
        <v>4.2</v>
      </c>
      <c r="D21" s="3">
        <v>1.2</v>
      </c>
      <c r="G21" t="s">
        <v>1024</v>
      </c>
    </row>
    <row r="22" spans="2:7" x14ac:dyDescent="0.2">
      <c r="B22" t="s">
        <v>1029</v>
      </c>
      <c r="C22" s="3">
        <v>38</v>
      </c>
      <c r="D22" s="3">
        <v>400</v>
      </c>
      <c r="E22">
        <v>27</v>
      </c>
      <c r="F22">
        <v>27</v>
      </c>
      <c r="G22" t="s">
        <v>1024</v>
      </c>
    </row>
    <row r="23" spans="2:7" x14ac:dyDescent="0.2">
      <c r="B23" t="s">
        <v>1031</v>
      </c>
      <c r="C23" s="21">
        <f>(C21/2)^2*PI()</f>
        <v>13.854423602330987</v>
      </c>
      <c r="D23" s="21">
        <f>(D21/2)^2*PI()</f>
        <v>1.1309733552923256</v>
      </c>
      <c r="E23">
        <v>30</v>
      </c>
      <c r="F23">
        <v>40</v>
      </c>
      <c r="G23" t="s">
        <v>378</v>
      </c>
    </row>
    <row r="24" spans="2:7" x14ac:dyDescent="0.2">
      <c r="B24" t="s">
        <v>1030</v>
      </c>
      <c r="C24" s="21">
        <f>C23*C22</f>
        <v>526.46809688857752</v>
      </c>
      <c r="D24" s="21">
        <f>D23*D22</f>
        <v>452.38934211693021</v>
      </c>
      <c r="E24" s="21">
        <f>E23*E22</f>
        <v>810</v>
      </c>
      <c r="F24" s="21">
        <f>F23*F22</f>
        <v>1080</v>
      </c>
      <c r="G24" t="s">
        <v>841</v>
      </c>
    </row>
    <row r="25" spans="2:7" x14ac:dyDescent="0.2">
      <c r="C25" s="3"/>
      <c r="D25" s="3"/>
    </row>
    <row r="26" spans="2:7" x14ac:dyDescent="0.2">
      <c r="B26" t="s">
        <v>1035</v>
      </c>
      <c r="C26" s="3">
        <v>75</v>
      </c>
      <c r="D26" s="3">
        <v>160</v>
      </c>
      <c r="E26">
        <v>200</v>
      </c>
      <c r="F26">
        <v>550</v>
      </c>
      <c r="G26" t="s">
        <v>1034</v>
      </c>
    </row>
    <row r="27" spans="2:7" x14ac:dyDescent="0.2">
      <c r="B27" t="s">
        <v>1036</v>
      </c>
      <c r="C27" s="3">
        <v>150</v>
      </c>
      <c r="D27" s="3">
        <v>150</v>
      </c>
      <c r="E27">
        <v>150</v>
      </c>
      <c r="F27">
        <v>150</v>
      </c>
      <c r="G27" t="s">
        <v>356</v>
      </c>
    </row>
    <row r="28" spans="2:7" x14ac:dyDescent="0.2">
      <c r="C28" s="3"/>
      <c r="D28" s="3"/>
    </row>
    <row r="29" spans="2:7" x14ac:dyDescent="0.2">
      <c r="B29" t="s">
        <v>1035</v>
      </c>
      <c r="C29" s="3">
        <f>C26*1000/60</f>
        <v>1250</v>
      </c>
      <c r="D29" s="81">
        <f>D26*1000/60</f>
        <v>2666.6666666666665</v>
      </c>
      <c r="E29" s="81">
        <f>E26*1000/60</f>
        <v>3333.3333333333335</v>
      </c>
      <c r="F29" s="81">
        <f>F26*1000/60</f>
        <v>9166.6666666666661</v>
      </c>
      <c r="G29" t="s">
        <v>1021</v>
      </c>
    </row>
    <row r="30" spans="2:7" x14ac:dyDescent="0.2">
      <c r="B30" t="s">
        <v>1037</v>
      </c>
      <c r="C30" s="3">
        <f>C29*100/(100+C27)</f>
        <v>500</v>
      </c>
      <c r="D30" s="81">
        <f>D29*100/(100+D27)</f>
        <v>1066.6666666666665</v>
      </c>
      <c r="E30" s="81">
        <f>E29*100/(100+E27)</f>
        <v>1333.3333333333335</v>
      </c>
      <c r="F30" s="81">
        <f>F29*100/(100+F27)</f>
        <v>3666.6666666666665</v>
      </c>
      <c r="G30" t="s">
        <v>1022</v>
      </c>
    </row>
    <row r="31" spans="2:7" x14ac:dyDescent="0.2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 x14ac:dyDescent="0.2">
      <c r="B32" t="s">
        <v>1038</v>
      </c>
      <c r="C32" s="21">
        <f>C31/100</f>
        <v>0.36089556256665611</v>
      </c>
      <c r="D32" s="21">
        <f>D31/100</f>
        <v>9.4314040350752784</v>
      </c>
      <c r="E32" s="21">
        <f>E31/100</f>
        <v>0.44444444444444448</v>
      </c>
      <c r="F32" s="21">
        <f>F31/100</f>
        <v>0.91666666666666652</v>
      </c>
      <c r="G32" t="s">
        <v>334</v>
      </c>
    </row>
    <row r="34" spans="2:7" x14ac:dyDescent="0.2">
      <c r="B34" t="s">
        <v>1018</v>
      </c>
      <c r="C34" s="21">
        <f>12.12-(1.16*C32)+11.6*C32^0.5</f>
        <v>18.670012874906931</v>
      </c>
      <c r="D34" s="21">
        <f>12.12-(1.16*D32)+11.6*D32^0.5</f>
        <v>36.803856953690378</v>
      </c>
      <c r="E34" s="21">
        <f>12.12-(1.16*E32)+11.6*E32^0.5</f>
        <v>19.337777777777777</v>
      </c>
      <c r="F34" s="21">
        <f>12.12-(1.16*F32)+11.6*F32^0.5</f>
        <v>22.162821116640188</v>
      </c>
      <c r="G34" t="s">
        <v>1033</v>
      </c>
    </row>
    <row r="35" spans="2:7" x14ac:dyDescent="0.2">
      <c r="B35" t="s">
        <v>1032</v>
      </c>
      <c r="C35" s="21">
        <f>PI()*C21*C22</f>
        <v>501.39818751293097</v>
      </c>
      <c r="D35" s="21">
        <f>PI()*D21*D22</f>
        <v>1507.9644737231006</v>
      </c>
      <c r="E35" s="21">
        <v>8500</v>
      </c>
      <c r="F35" s="21">
        <v>11350</v>
      </c>
      <c r="G35" t="s">
        <v>378</v>
      </c>
    </row>
    <row r="36" spans="2:7" x14ac:dyDescent="0.2">
      <c r="B36" t="s">
        <v>383</v>
      </c>
      <c r="C36" s="141">
        <f>C35/10000</f>
        <v>5.01398187512931E-2</v>
      </c>
      <c r="D36" s="141">
        <f>D35/10000</f>
        <v>0.15079644737231007</v>
      </c>
      <c r="E36" s="141">
        <f>E35/10000</f>
        <v>0.85</v>
      </c>
      <c r="F36" s="141">
        <f>F35/10000</f>
        <v>1.135</v>
      </c>
      <c r="G36" t="s">
        <v>1025</v>
      </c>
    </row>
    <row r="37" spans="2:7" x14ac:dyDescent="0.2">
      <c r="B37" t="s">
        <v>1019</v>
      </c>
      <c r="C37" s="3">
        <v>45</v>
      </c>
      <c r="D37" s="3">
        <v>45</v>
      </c>
      <c r="E37" s="3">
        <v>45</v>
      </c>
      <c r="F37" s="3">
        <v>45</v>
      </c>
      <c r="G37" t="s">
        <v>303</v>
      </c>
    </row>
    <row r="38" spans="2:7" x14ac:dyDescent="0.2">
      <c r="B38" t="s">
        <v>1020</v>
      </c>
      <c r="C38" s="3">
        <v>25</v>
      </c>
      <c r="D38" s="3">
        <v>25</v>
      </c>
      <c r="E38" s="3">
        <v>25</v>
      </c>
      <c r="F38" s="3">
        <v>25</v>
      </c>
      <c r="G38" t="s">
        <v>303</v>
      </c>
    </row>
    <row r="39" spans="2:7" x14ac:dyDescent="0.2">
      <c r="B39" t="s">
        <v>1026</v>
      </c>
      <c r="C39" s="21">
        <f>C34*C36*(C37-C38)</f>
        <v>18.722221232642841</v>
      </c>
      <c r="D39" s="21">
        <f>D34*D36*(D37-D38)</f>
        <v>110.99781756430397</v>
      </c>
      <c r="E39" s="21">
        <f>E34*E36*(E37-E38)</f>
        <v>328.74222222222221</v>
      </c>
      <c r="F39" s="21">
        <f>F34*F36*(F37-F38)</f>
        <v>503.0960393477323</v>
      </c>
      <c r="G39" t="s">
        <v>1027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 x14ac:dyDescent="0.2"/>
  <sheetData>
    <row r="6" spans="3:7" x14ac:dyDescent="0.2">
      <c r="C6" t="s">
        <v>1004</v>
      </c>
      <c r="G6" s="10" t="s">
        <v>1005</v>
      </c>
    </row>
    <row r="8" spans="3:7" x14ac:dyDescent="0.2">
      <c r="C8" t="s">
        <v>956</v>
      </c>
      <c r="D8">
        <v>0.63</v>
      </c>
    </row>
    <row r="10" spans="3:7" x14ac:dyDescent="0.2">
      <c r="C10" t="s">
        <v>957</v>
      </c>
      <c r="D10">
        <v>1.5</v>
      </c>
      <c r="E10" t="s">
        <v>377</v>
      </c>
    </row>
    <row r="11" spans="3:7" x14ac:dyDescent="0.2">
      <c r="C11" t="s">
        <v>958</v>
      </c>
      <c r="D11">
        <v>7.8</v>
      </c>
      <c r="E11" t="s">
        <v>377</v>
      </c>
    </row>
    <row r="12" spans="3:7" x14ac:dyDescent="0.2">
      <c r="C12" t="s">
        <v>952</v>
      </c>
      <c r="D12">
        <v>18.7</v>
      </c>
      <c r="E12" t="s">
        <v>377</v>
      </c>
    </row>
    <row r="14" spans="3:7" x14ac:dyDescent="0.2">
      <c r="C14" t="s">
        <v>383</v>
      </c>
      <c r="D14" s="1">
        <f>(PI()*(D11^2)) - (PI()*(D10^2))</f>
        <v>184.06591357382595</v>
      </c>
      <c r="E14" t="s">
        <v>378</v>
      </c>
    </row>
    <row r="15" spans="3:7" x14ac:dyDescent="0.2">
      <c r="C15" t="s">
        <v>357</v>
      </c>
      <c r="D15" s="2">
        <f>D14*D12</f>
        <v>3442.0325838305453</v>
      </c>
      <c r="E15" t="s">
        <v>955</v>
      </c>
    </row>
    <row r="16" spans="3:7" x14ac:dyDescent="0.2">
      <c r="C16" t="s">
        <v>953</v>
      </c>
      <c r="D16" s="2">
        <f>D8*D15</f>
        <v>2168.4805278132435</v>
      </c>
      <c r="E16" t="s">
        <v>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C4:P76"/>
  <sheetViews>
    <sheetView topLeftCell="A38" workbookViewId="0">
      <selection activeCell="G67" sqref="G67"/>
    </sheetView>
  </sheetViews>
  <sheetFormatPr baseColWidth="10" defaultRowHeight="16" x14ac:dyDescent="0.2"/>
  <cols>
    <col min="5" max="5" width="13.33203125" customWidth="1"/>
  </cols>
  <sheetData>
    <row r="4" spans="3:4" x14ac:dyDescent="0.2">
      <c r="C4" t="s">
        <v>733</v>
      </c>
    </row>
    <row r="5" spans="3:4" x14ac:dyDescent="0.2">
      <c r="C5">
        <v>32</v>
      </c>
      <c r="D5" t="s">
        <v>724</v>
      </c>
    </row>
    <row r="6" spans="3:4" x14ac:dyDescent="0.2">
      <c r="C6">
        <v>22.4</v>
      </c>
      <c r="D6" t="s">
        <v>725</v>
      </c>
    </row>
    <row r="7" spans="3:4" x14ac:dyDescent="0.2">
      <c r="C7" s="1">
        <f>C5/C6</f>
        <v>1.4285714285714286</v>
      </c>
      <c r="D7" t="s">
        <v>721</v>
      </c>
    </row>
    <row r="9" spans="3:4" x14ac:dyDescent="0.2">
      <c r="C9">
        <v>1.4291</v>
      </c>
    </row>
    <row r="11" spans="3:4" x14ac:dyDescent="0.2">
      <c r="C11">
        <v>100</v>
      </c>
      <c r="D11" t="s">
        <v>236</v>
      </c>
    </row>
    <row r="12" spans="3:4" x14ac:dyDescent="0.2">
      <c r="C12" s="2">
        <f>C11*C9*1440/1000</f>
        <v>205.79040000000001</v>
      </c>
      <c r="D12" t="s">
        <v>722</v>
      </c>
    </row>
    <row r="14" spans="3:4" x14ac:dyDescent="0.2">
      <c r="C14" s="29">
        <f>1000/C12*C11</f>
        <v>485.93131652399722</v>
      </c>
      <c r="D14" t="s">
        <v>723</v>
      </c>
    </row>
    <row r="19" spans="3:8" x14ac:dyDescent="0.2">
      <c r="C19" t="s">
        <v>732</v>
      </c>
    </row>
    <row r="21" spans="3:8" x14ac:dyDescent="0.2">
      <c r="C21">
        <v>28</v>
      </c>
      <c r="D21" t="s">
        <v>724</v>
      </c>
    </row>
    <row r="22" spans="3:8" x14ac:dyDescent="0.2">
      <c r="C22">
        <v>22.4</v>
      </c>
      <c r="D22" t="s">
        <v>725</v>
      </c>
    </row>
    <row r="23" spans="3:8" x14ac:dyDescent="0.2">
      <c r="C23" s="1">
        <f>C21/C22</f>
        <v>1.25</v>
      </c>
      <c r="D23" t="s">
        <v>721</v>
      </c>
    </row>
    <row r="25" spans="3:8" x14ac:dyDescent="0.2">
      <c r="D25" s="8" t="s">
        <v>824</v>
      </c>
      <c r="E25" s="8" t="s">
        <v>821</v>
      </c>
      <c r="F25" s="8" t="s">
        <v>822</v>
      </c>
      <c r="G25" s="8" t="s">
        <v>823</v>
      </c>
    </row>
    <row r="26" spans="3:8" x14ac:dyDescent="0.2">
      <c r="C26" t="s">
        <v>819</v>
      </c>
      <c r="D26">
        <v>0</v>
      </c>
      <c r="E26">
        <v>0.65</v>
      </c>
      <c r="F26">
        <v>1.1000000000000001</v>
      </c>
      <c r="G26">
        <v>0.1</v>
      </c>
      <c r="H26" t="s">
        <v>816</v>
      </c>
    </row>
    <row r="27" spans="3:8" x14ac:dyDescent="0.2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820</v>
      </c>
    </row>
    <row r="28" spans="3:8" x14ac:dyDescent="0.2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817</v>
      </c>
    </row>
    <row r="29" spans="3:8" x14ac:dyDescent="0.2">
      <c r="C29" t="s">
        <v>818</v>
      </c>
      <c r="D29">
        <v>1.4</v>
      </c>
      <c r="E29">
        <v>1.2</v>
      </c>
      <c r="F29">
        <v>1.4</v>
      </c>
      <c r="G29">
        <v>0.8</v>
      </c>
      <c r="H29" t="s">
        <v>816</v>
      </c>
    </row>
    <row r="30" spans="3:8" x14ac:dyDescent="0.2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820</v>
      </c>
    </row>
    <row r="31" spans="3:8" x14ac:dyDescent="0.2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817</v>
      </c>
    </row>
    <row r="34" spans="3:16" x14ac:dyDescent="0.2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738</v>
      </c>
    </row>
    <row r="39" spans="3:16" x14ac:dyDescent="0.2">
      <c r="D39" s="3" t="s">
        <v>1058</v>
      </c>
      <c r="E39" s="3" t="s">
        <v>1057</v>
      </c>
      <c r="F39" s="3" t="s">
        <v>1062</v>
      </c>
      <c r="G39" s="143" t="s">
        <v>1054</v>
      </c>
      <c r="H39" s="3" t="s">
        <v>1052</v>
      </c>
      <c r="I39" s="3" t="s">
        <v>1053</v>
      </c>
      <c r="J39" s="3" t="s">
        <v>1059</v>
      </c>
      <c r="K39" s="3" t="s">
        <v>1052</v>
      </c>
      <c r="L39" s="3" t="s">
        <v>1053</v>
      </c>
      <c r="M39" s="3" t="s">
        <v>1056</v>
      </c>
      <c r="N39" s="3" t="s">
        <v>1056</v>
      </c>
    </row>
    <row r="40" spans="3:16" x14ac:dyDescent="0.2">
      <c r="C40" t="s">
        <v>1039</v>
      </c>
      <c r="D40" s="3">
        <v>5</v>
      </c>
      <c r="E40" s="3">
        <v>3.89</v>
      </c>
      <c r="F40" s="3">
        <v>1.28</v>
      </c>
      <c r="G40" s="143">
        <v>2.56</v>
      </c>
      <c r="H40" s="3">
        <v>2.56</v>
      </c>
      <c r="I40" s="3">
        <v>2.56</v>
      </c>
      <c r="J40" s="3">
        <v>1.6</v>
      </c>
      <c r="K40" s="3">
        <v>0.7</v>
      </c>
      <c r="L40" s="3">
        <v>0.7</v>
      </c>
      <c r="M40" s="3">
        <v>0.55000000000000004</v>
      </c>
      <c r="N40" s="3">
        <v>0.55000000000000004</v>
      </c>
      <c r="O40" t="s">
        <v>5</v>
      </c>
    </row>
    <row r="41" spans="3:16" x14ac:dyDescent="0.2">
      <c r="C41" t="s">
        <v>1040</v>
      </c>
      <c r="D41" s="5">
        <f>D40*$G34</f>
        <v>78.400000000000006</v>
      </c>
      <c r="E41" s="5">
        <f>E40*$G34</f>
        <v>60.995200000000011</v>
      </c>
      <c r="F41" s="5">
        <f>F40*$G34</f>
        <v>20.070400000000003</v>
      </c>
      <c r="G41" s="144">
        <f>G40*$G34</f>
        <v>40.140800000000006</v>
      </c>
      <c r="H41" s="5">
        <f>H40*$G34</f>
        <v>40.140800000000006</v>
      </c>
      <c r="I41" s="5">
        <f>I40*$G34</f>
        <v>40.140800000000006</v>
      </c>
      <c r="J41" s="5">
        <f>J40*$G34</f>
        <v>25.088000000000005</v>
      </c>
      <c r="K41" s="5">
        <f>K40*$G34</f>
        <v>10.976000000000001</v>
      </c>
      <c r="L41" s="5">
        <f>L40*$G34</f>
        <v>10.976000000000001</v>
      </c>
      <c r="M41" s="5">
        <f>M40*$G34</f>
        <v>8.6240000000000023</v>
      </c>
      <c r="N41" s="5">
        <f>N40*$G34</f>
        <v>8.6240000000000023</v>
      </c>
      <c r="O41" t="s">
        <v>355</v>
      </c>
      <c r="P41" t="s">
        <v>1061</v>
      </c>
    </row>
    <row r="42" spans="3:16" x14ac:dyDescent="0.2">
      <c r="C42" t="s">
        <v>1041</v>
      </c>
      <c r="D42" s="3">
        <v>550</v>
      </c>
      <c r="E42" s="3">
        <v>550</v>
      </c>
      <c r="F42" s="3">
        <v>264</v>
      </c>
      <c r="G42" s="143">
        <v>264</v>
      </c>
      <c r="H42" s="3">
        <v>210</v>
      </c>
      <c r="I42" s="3">
        <v>192</v>
      </c>
      <c r="J42" s="3">
        <v>192</v>
      </c>
      <c r="K42" s="3">
        <v>85</v>
      </c>
      <c r="L42" s="3">
        <v>75</v>
      </c>
      <c r="M42" s="3">
        <v>100</v>
      </c>
      <c r="N42" s="3">
        <v>50</v>
      </c>
      <c r="O42" t="s">
        <v>17</v>
      </c>
    </row>
    <row r="43" spans="3:16" x14ac:dyDescent="0.2">
      <c r="C43" t="s">
        <v>1042</v>
      </c>
      <c r="D43" s="5">
        <f>D42*0.79</f>
        <v>434.5</v>
      </c>
      <c r="E43" s="5">
        <f>E42*0.79</f>
        <v>434.5</v>
      </c>
      <c r="F43" s="5">
        <f>F42*0.79</f>
        <v>208.56</v>
      </c>
      <c r="G43" s="144">
        <f>G42*0.79</f>
        <v>208.56</v>
      </c>
      <c r="H43" s="5">
        <f>H42*0.79</f>
        <v>165.9</v>
      </c>
      <c r="I43" s="5">
        <f>I42*0.79</f>
        <v>151.68</v>
      </c>
      <c r="J43" s="5">
        <f>J42*0.79</f>
        <v>151.68</v>
      </c>
      <c r="K43" s="5">
        <f>K42*0.79</f>
        <v>67.150000000000006</v>
      </c>
      <c r="L43" s="5">
        <f>L42*0.79</f>
        <v>59.25</v>
      </c>
      <c r="M43" s="5">
        <f>M42*0.79</f>
        <v>79</v>
      </c>
      <c r="N43" s="5">
        <f>N42*0.79</f>
        <v>39.5</v>
      </c>
      <c r="O43" t="s">
        <v>17</v>
      </c>
    </row>
    <row r="44" spans="3:16" x14ac:dyDescent="0.2">
      <c r="C44" t="s">
        <v>1043</v>
      </c>
      <c r="D44" s="21">
        <f>D41/D43</f>
        <v>0.18043728423475261</v>
      </c>
      <c r="E44" s="21">
        <f>E41/E43</f>
        <v>0.14038020713463753</v>
      </c>
      <c r="F44" s="21">
        <f>F41/F43</f>
        <v>9.6233218258534731E-2</v>
      </c>
      <c r="G44" s="145">
        <f>G41/G43</f>
        <v>0.19246643651706946</v>
      </c>
      <c r="H44" s="21">
        <f>H41/H43</f>
        <v>0.24195780590717303</v>
      </c>
      <c r="I44" s="21">
        <f>I41/I43</f>
        <v>0.26464135021097052</v>
      </c>
      <c r="J44" s="21">
        <f>J41/J43</f>
        <v>0.16540084388185655</v>
      </c>
      <c r="K44" s="21">
        <f>K41/K43</f>
        <v>0.16345495160089352</v>
      </c>
      <c r="L44" s="21">
        <f>L41/L43</f>
        <v>0.18524894514767934</v>
      </c>
      <c r="M44" s="21">
        <f>M41/M43</f>
        <v>0.10916455696202534</v>
      </c>
      <c r="N44" s="21">
        <f>N41/N43</f>
        <v>0.21832911392405069</v>
      </c>
      <c r="O44" t="s">
        <v>1044</v>
      </c>
    </row>
    <row r="45" spans="3:16" x14ac:dyDescent="0.2">
      <c r="D45" s="5">
        <f>D44*60</f>
        <v>10.826237054085157</v>
      </c>
      <c r="E45" s="5">
        <f>E44*60</f>
        <v>8.4228124280782524</v>
      </c>
      <c r="F45" s="5">
        <f>F44*60</f>
        <v>5.7739930955120835</v>
      </c>
      <c r="G45" s="146">
        <f>G44*60</f>
        <v>11.547986191024167</v>
      </c>
      <c r="H45" s="5">
        <f>H44*60</f>
        <v>14.517468354430381</v>
      </c>
      <c r="I45" s="5">
        <f>I44*60</f>
        <v>15.878481012658231</v>
      </c>
      <c r="J45" s="5">
        <f>J44*60</f>
        <v>9.9240506329113938</v>
      </c>
      <c r="K45" s="5">
        <f>K44*60</f>
        <v>9.8072970960536114</v>
      </c>
      <c r="L45" s="5">
        <f>L44*60</f>
        <v>11.11493670886076</v>
      </c>
      <c r="M45" s="5">
        <f>M44*60</f>
        <v>6.5498734177215203</v>
      </c>
      <c r="N45" s="5">
        <f>N44*60</f>
        <v>13.099746835443041</v>
      </c>
      <c r="O45" t="s">
        <v>1045</v>
      </c>
    </row>
    <row r="46" spans="3:16" x14ac:dyDescent="0.2">
      <c r="C46" t="s">
        <v>875</v>
      </c>
      <c r="D46" s="3">
        <v>0.9</v>
      </c>
      <c r="E46" s="3">
        <v>0.9</v>
      </c>
      <c r="F46" s="3">
        <v>0.9</v>
      </c>
      <c r="G46" s="143">
        <v>0.9</v>
      </c>
      <c r="H46" s="3">
        <v>0.9</v>
      </c>
      <c r="I46" s="3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</row>
    <row r="47" spans="3:16" x14ac:dyDescent="0.2">
      <c r="C47" t="s">
        <v>1046</v>
      </c>
      <c r="D47" s="5">
        <f>D41*0.21/0.79*D46</f>
        <v>18.756455696202533</v>
      </c>
      <c r="E47" s="5">
        <f t="shared" ref="E47:J47" si="0">E41*0.21/0.79*E46</f>
        <v>14.592522531645571</v>
      </c>
      <c r="F47" s="5">
        <f>F41*0.21/0.79*F46</f>
        <v>4.8016526582278489</v>
      </c>
      <c r="G47" s="144">
        <f>G41*0.21/0.79*G46</f>
        <v>9.6033053164556978</v>
      </c>
      <c r="H47" s="5">
        <f>H41*0.21/0.79*H46</f>
        <v>9.6033053164556978</v>
      </c>
      <c r="I47" s="5">
        <f>I41*0.21/0.79*I46</f>
        <v>9.6033053164556978</v>
      </c>
      <c r="J47" s="5">
        <f>J41*0.21/0.79*J46</f>
        <v>6.0020658227848118</v>
      </c>
      <c r="K47" s="5">
        <f>K41*0.21/0.79*K46</f>
        <v>2.6259037974683546</v>
      </c>
      <c r="L47" s="5">
        <f>L41*0.21/0.79*L46</f>
        <v>2.6259037974683546</v>
      </c>
      <c r="M47" s="5">
        <f>M41*0.21/0.79*M46</f>
        <v>2.0632101265822786</v>
      </c>
      <c r="N47" s="5">
        <f>N41*0.21/0.79*N46</f>
        <v>2.0632101265822786</v>
      </c>
      <c r="O47" t="s">
        <v>355</v>
      </c>
    </row>
    <row r="48" spans="3:16" x14ac:dyDescent="0.2">
      <c r="D48" s="3"/>
      <c r="E48" s="3"/>
      <c r="F48" s="3"/>
      <c r="G48" s="143"/>
      <c r="H48" s="3"/>
      <c r="I48" s="3"/>
      <c r="J48" s="3"/>
      <c r="K48" s="3"/>
      <c r="L48" s="3"/>
      <c r="M48" s="3"/>
      <c r="N48" s="3"/>
    </row>
    <row r="49" spans="3:15" x14ac:dyDescent="0.2">
      <c r="D49" s="3"/>
      <c r="E49" s="3"/>
      <c r="F49" s="3"/>
      <c r="G49" s="143"/>
      <c r="H49" s="3"/>
      <c r="I49" s="3"/>
      <c r="J49" s="3"/>
      <c r="K49" s="3"/>
      <c r="L49" s="3"/>
      <c r="M49" s="3"/>
      <c r="N49" s="3"/>
    </row>
    <row r="50" spans="3:15" x14ac:dyDescent="0.2">
      <c r="C50" t="s">
        <v>1047</v>
      </c>
      <c r="D50" s="3">
        <v>425</v>
      </c>
      <c r="E50" s="3">
        <v>425</v>
      </c>
      <c r="F50" s="3">
        <v>230</v>
      </c>
      <c r="G50" s="143">
        <v>230</v>
      </c>
      <c r="H50" s="3">
        <v>180</v>
      </c>
      <c r="I50" s="3">
        <v>150</v>
      </c>
      <c r="J50" s="3">
        <v>150</v>
      </c>
      <c r="K50" s="3">
        <v>120</v>
      </c>
      <c r="L50" s="3">
        <v>60</v>
      </c>
      <c r="M50" s="3">
        <v>80</v>
      </c>
      <c r="N50" s="3">
        <v>50</v>
      </c>
      <c r="O50" t="s">
        <v>1048</v>
      </c>
    </row>
    <row r="51" spans="3:15" x14ac:dyDescent="0.2">
      <c r="C51" t="s">
        <v>1049</v>
      </c>
      <c r="D51" s="21">
        <f>D41/D50</f>
        <v>0.18447058823529414</v>
      </c>
      <c r="E51" s="21">
        <f>E41/E50</f>
        <v>0.14351811764705885</v>
      </c>
      <c r="F51" s="21">
        <f>F41/F50</f>
        <v>8.726260869565218E-2</v>
      </c>
      <c r="G51" s="145">
        <f>G41/G50</f>
        <v>0.17452521739130436</v>
      </c>
      <c r="H51" s="21">
        <f>H41/H50</f>
        <v>0.22300444444444448</v>
      </c>
      <c r="I51" s="21">
        <f>I41/I50</f>
        <v>0.26760533333333336</v>
      </c>
      <c r="J51" s="21">
        <f>J41/J50</f>
        <v>0.16725333333333336</v>
      </c>
      <c r="K51" s="21">
        <f>K41/K50</f>
        <v>9.1466666666666668E-2</v>
      </c>
      <c r="L51" s="21">
        <f>L41/L50</f>
        <v>0.18293333333333334</v>
      </c>
      <c r="M51" s="21">
        <f>M41/M50</f>
        <v>0.10780000000000003</v>
      </c>
      <c r="N51" s="21">
        <f>N41/N50</f>
        <v>0.17248000000000005</v>
      </c>
      <c r="O51" t="s">
        <v>1044</v>
      </c>
    </row>
    <row r="52" spans="3:15" x14ac:dyDescent="0.2">
      <c r="D52" s="5">
        <f>D51*60</f>
        <v>11.068235294117649</v>
      </c>
      <c r="E52" s="5">
        <f>E51*60</f>
        <v>8.6110870588235304</v>
      </c>
      <c r="F52" s="5">
        <f>F51*60</f>
        <v>5.2357565217391304</v>
      </c>
      <c r="G52" s="146">
        <f>G51*60</f>
        <v>10.471513043478261</v>
      </c>
      <c r="H52" s="5">
        <f>H51*60</f>
        <v>13.380266666666669</v>
      </c>
      <c r="I52" s="5">
        <f>I51*60</f>
        <v>16.056320000000003</v>
      </c>
      <c r="J52" s="5">
        <f>J51*60</f>
        <v>10.035200000000001</v>
      </c>
      <c r="K52" s="5">
        <f>K51*60</f>
        <v>5.4880000000000004</v>
      </c>
      <c r="L52" s="5">
        <f>L51*60</f>
        <v>10.976000000000001</v>
      </c>
      <c r="M52" s="5">
        <f>M51*60</f>
        <v>6.4680000000000017</v>
      </c>
      <c r="N52" s="5">
        <f>N51*60</f>
        <v>10.348800000000002</v>
      </c>
      <c r="O52" t="s">
        <v>1045</v>
      </c>
    </row>
    <row r="53" spans="3:15" x14ac:dyDescent="0.2">
      <c r="D53" s="3"/>
      <c r="E53" s="3"/>
      <c r="F53" s="3"/>
      <c r="G53" s="143"/>
      <c r="H53" s="3"/>
      <c r="I53" s="3"/>
      <c r="J53" s="3"/>
      <c r="K53" s="3"/>
      <c r="L53" s="3"/>
      <c r="M53" s="3"/>
      <c r="N53" s="3"/>
    </row>
    <row r="54" spans="3:15" x14ac:dyDescent="0.2">
      <c r="C54" t="s">
        <v>1050</v>
      </c>
      <c r="D54" s="21">
        <f>D44+D51</f>
        <v>0.36490787247004675</v>
      </c>
      <c r="E54" s="21">
        <f>E44+E51</f>
        <v>0.28389832478169641</v>
      </c>
      <c r="F54" s="21">
        <f>F44+F51</f>
        <v>0.18349582695418692</v>
      </c>
      <c r="G54" s="145">
        <f>G44+G51</f>
        <v>0.36699165390837385</v>
      </c>
      <c r="H54" s="21">
        <f>H44+H51</f>
        <v>0.46496225035161753</v>
      </c>
      <c r="I54" s="21">
        <f>I44+I51</f>
        <v>0.53224668354430382</v>
      </c>
      <c r="J54" s="21">
        <f>J44+J51</f>
        <v>0.33265417721518992</v>
      </c>
      <c r="K54" s="21">
        <f>K44+K51</f>
        <v>0.25492161826756021</v>
      </c>
      <c r="L54" s="21">
        <f>L44+L51</f>
        <v>0.3681822784810127</v>
      </c>
      <c r="M54" s="21">
        <f>M44+M51</f>
        <v>0.21696455696202538</v>
      </c>
      <c r="N54" s="21">
        <f>N44+N51</f>
        <v>0.39080911392405071</v>
      </c>
      <c r="O54" t="s">
        <v>1044</v>
      </c>
    </row>
    <row r="55" spans="3:15" x14ac:dyDescent="0.2">
      <c r="D55" s="5">
        <f>D54*60</f>
        <v>21.894472348202804</v>
      </c>
      <c r="E55" s="5">
        <f>E54*60</f>
        <v>17.033899486901785</v>
      </c>
      <c r="F55" s="5">
        <f>F54*60</f>
        <v>11.009749617251215</v>
      </c>
      <c r="G55" s="146">
        <f>G54*60</f>
        <v>22.01949923450243</v>
      </c>
      <c r="H55" s="5">
        <f>H54*60</f>
        <v>27.897735021097052</v>
      </c>
      <c r="I55" s="5">
        <f>I54*60</f>
        <v>31.93480101265823</v>
      </c>
      <c r="J55" s="5">
        <f>J54*60</f>
        <v>19.959250632911395</v>
      </c>
      <c r="K55" s="5">
        <f>K54*60</f>
        <v>15.295297096053613</v>
      </c>
      <c r="L55" s="5">
        <f>L54*60</f>
        <v>22.090936708860763</v>
      </c>
      <c r="M55" s="5">
        <f>M54*60</f>
        <v>13.017873417721523</v>
      </c>
      <c r="N55" s="5">
        <f>N54*60</f>
        <v>23.448546835443043</v>
      </c>
      <c r="O55" t="s">
        <v>1045</v>
      </c>
    </row>
    <row r="56" spans="3:15" x14ac:dyDescent="0.2">
      <c r="D56" s="3"/>
      <c r="E56" s="3"/>
      <c r="F56" s="3"/>
      <c r="G56" s="143"/>
      <c r="H56" s="3"/>
      <c r="I56" s="3"/>
      <c r="J56" s="3"/>
      <c r="K56" s="3"/>
      <c r="L56" s="3"/>
      <c r="M56" s="3"/>
      <c r="N56" s="3"/>
    </row>
    <row r="57" spans="3:15" x14ac:dyDescent="0.2">
      <c r="C57" t="s">
        <v>1051</v>
      </c>
      <c r="D57" s="5">
        <f>D47/D54</f>
        <v>51.400523560209422</v>
      </c>
      <c r="E57" s="5">
        <f>E47/E54</f>
        <v>51.400523560209415</v>
      </c>
      <c r="F57" s="5">
        <f>F47/F54</f>
        <v>26.16763954761036</v>
      </c>
      <c r="G57" s="144">
        <f>G47/G54</f>
        <v>26.16763954761036</v>
      </c>
      <c r="H57" s="5">
        <f>H47/H54</f>
        <v>20.653946227233305</v>
      </c>
      <c r="I57" s="5">
        <f>I47/I54</f>
        <v>18.042959427207638</v>
      </c>
      <c r="J57" s="5">
        <f>J47/J54</f>
        <v>18.042959427207641</v>
      </c>
      <c r="K57" s="5">
        <f>K47/K54</f>
        <v>10.300828212663639</v>
      </c>
      <c r="L57" s="5">
        <f>L47/L54</f>
        <v>7.132075471698113</v>
      </c>
      <c r="M57" s="5">
        <f>M47/M54</f>
        <v>9.5094339622641488</v>
      </c>
      <c r="N57" s="5">
        <f>N47/N54</f>
        <v>5.2793296089385473</v>
      </c>
      <c r="O57" t="s">
        <v>17</v>
      </c>
    </row>
    <row r="59" spans="3:15" x14ac:dyDescent="0.2">
      <c r="C59" t="s">
        <v>1076</v>
      </c>
      <c r="D59" s="147">
        <v>0.5</v>
      </c>
      <c r="E59" s="147">
        <v>0.5</v>
      </c>
      <c r="F59" s="147">
        <v>0.5</v>
      </c>
      <c r="G59" s="147">
        <v>0.5</v>
      </c>
      <c r="H59" s="147">
        <v>0.5</v>
      </c>
      <c r="I59" s="147">
        <v>0.5</v>
      </c>
      <c r="J59" s="147">
        <v>0.5</v>
      </c>
      <c r="K59" s="147">
        <v>0.5</v>
      </c>
      <c r="L59" s="147">
        <v>0.5</v>
      </c>
      <c r="M59" s="147">
        <v>0.5</v>
      </c>
      <c r="N59" s="147">
        <v>0.5</v>
      </c>
    </row>
    <row r="60" spans="3:15" x14ac:dyDescent="0.2">
      <c r="C60" t="s">
        <v>1077</v>
      </c>
      <c r="D60" s="1">
        <f>D59*D44</f>
        <v>9.0218642117376305E-2</v>
      </c>
      <c r="E60" s="1">
        <f t="shared" ref="E60:N60" si="1">E59*E44</f>
        <v>7.0190103567318765E-2</v>
      </c>
      <c r="F60" s="1">
        <f t="shared" si="1"/>
        <v>4.8116609129267365E-2</v>
      </c>
      <c r="G60" s="1">
        <f t="shared" si="1"/>
        <v>9.6233218258534731E-2</v>
      </c>
      <c r="H60" s="1">
        <f t="shared" si="1"/>
        <v>0.12097890295358651</v>
      </c>
      <c r="I60" s="1">
        <f t="shared" si="1"/>
        <v>0.13232067510548526</v>
      </c>
      <c r="J60" s="1">
        <f t="shared" si="1"/>
        <v>8.2700421940928276E-2</v>
      </c>
      <c r="K60" s="1">
        <f t="shared" si="1"/>
        <v>8.1727475800446758E-2</v>
      </c>
      <c r="L60" s="1">
        <f t="shared" si="1"/>
        <v>9.262447257383967E-2</v>
      </c>
      <c r="M60" s="1">
        <f t="shared" si="1"/>
        <v>5.4582278481012672E-2</v>
      </c>
      <c r="N60" s="1">
        <f t="shared" si="1"/>
        <v>0.10916455696202534</v>
      </c>
    </row>
    <row r="61" spans="3:15" x14ac:dyDescent="0.2">
      <c r="C61" t="s">
        <v>1075</v>
      </c>
      <c r="D61" s="2">
        <f>D57*(D54-D60)</f>
        <v>14.119170256478231</v>
      </c>
      <c r="E61" s="2">
        <f>E57*(E54-E60)</f>
        <v>10.984714459540065</v>
      </c>
      <c r="F61" s="2">
        <f>F57*(F54-F60)</f>
        <v>3.5425545742799227</v>
      </c>
      <c r="G61" s="2">
        <f>G57*(G54-G60)</f>
        <v>7.0851091485598454</v>
      </c>
      <c r="H61" s="2">
        <f>H57*(H54-H60)</f>
        <v>7.1046135602226466</v>
      </c>
      <c r="I61" s="2">
        <f>I57*(I54-I60)</f>
        <v>7.2158487441467019</v>
      </c>
      <c r="J61" s="2">
        <f>J57*(J54-J60)</f>
        <v>4.5099054650916912</v>
      </c>
      <c r="K61" s="2">
        <f>K57*(K54-K60)</f>
        <v>1.784043108993328</v>
      </c>
      <c r="L61" s="2">
        <f>L57*(L54-L60)</f>
        <v>1.9652990685454983</v>
      </c>
      <c r="M61" s="2">
        <f>M57*(M54-M60)</f>
        <v>1.5441635538571772</v>
      </c>
      <c r="N61" s="2">
        <f>N57*(N54-N60)</f>
        <v>1.4868944487659999</v>
      </c>
      <c r="O61" t="s">
        <v>0</v>
      </c>
    </row>
    <row r="64" spans="3:15" x14ac:dyDescent="0.2">
      <c r="M64" s="3" t="s">
        <v>1060</v>
      </c>
    </row>
    <row r="65" spans="12:15" x14ac:dyDescent="0.2">
      <c r="L65" t="s">
        <v>1039</v>
      </c>
      <c r="M65" s="3">
        <v>1.7</v>
      </c>
      <c r="N65" t="s">
        <v>5</v>
      </c>
    </row>
    <row r="66" spans="12:15" x14ac:dyDescent="0.2">
      <c r="L66" t="s">
        <v>1040</v>
      </c>
      <c r="M66" s="5">
        <f>M65*$E34</f>
        <v>20.944000000000006</v>
      </c>
      <c r="N66" t="s">
        <v>355</v>
      </c>
      <c r="O66" t="s">
        <v>1060</v>
      </c>
    </row>
    <row r="67" spans="12:15" x14ac:dyDescent="0.2">
      <c r="L67" t="s">
        <v>1041</v>
      </c>
      <c r="M67" s="3">
        <v>160</v>
      </c>
      <c r="N67" t="s">
        <v>17</v>
      </c>
    </row>
    <row r="68" spans="12:15" x14ac:dyDescent="0.2">
      <c r="L68" t="s">
        <v>1042</v>
      </c>
      <c r="M68" s="5">
        <f>M67*0.79</f>
        <v>126.4</v>
      </c>
      <c r="N68" t="s">
        <v>17</v>
      </c>
    </row>
    <row r="69" spans="12:15" x14ac:dyDescent="0.2">
      <c r="L69" t="s">
        <v>1043</v>
      </c>
      <c r="M69" s="21">
        <f>M66/M68</f>
        <v>0.1656962025316456</v>
      </c>
      <c r="N69" t="s">
        <v>1044</v>
      </c>
    </row>
    <row r="70" spans="12:15" x14ac:dyDescent="0.2">
      <c r="M70" s="5">
        <f>M69*60</f>
        <v>9.9417721518987356</v>
      </c>
      <c r="N70" t="s">
        <v>1045</v>
      </c>
    </row>
    <row r="71" spans="12:15" x14ac:dyDescent="0.2">
      <c r="L71" t="s">
        <v>875</v>
      </c>
      <c r="M71" s="3">
        <v>0.6</v>
      </c>
    </row>
    <row r="72" spans="12:15" x14ac:dyDescent="0.2">
      <c r="L72" t="s">
        <v>1046</v>
      </c>
      <c r="M72" s="5">
        <f>M66*0.21/0.79*M71</f>
        <v>3.340435443037975</v>
      </c>
      <c r="N72" t="s">
        <v>355</v>
      </c>
    </row>
    <row r="73" spans="12:15" x14ac:dyDescent="0.2">
      <c r="L73" t="s">
        <v>1050</v>
      </c>
      <c r="M73" s="21">
        <f>M69</f>
        <v>0.1656962025316456</v>
      </c>
      <c r="N73" t="s">
        <v>1044</v>
      </c>
    </row>
    <row r="74" spans="12:15" x14ac:dyDescent="0.2">
      <c r="M74" s="5">
        <f>M73*60</f>
        <v>9.9417721518987356</v>
      </c>
      <c r="N74" t="s">
        <v>1045</v>
      </c>
    </row>
    <row r="75" spans="12:15" x14ac:dyDescent="0.2">
      <c r="M75" s="3"/>
    </row>
    <row r="76" spans="12:15" x14ac:dyDescent="0.2">
      <c r="L76" t="s">
        <v>1051</v>
      </c>
      <c r="M76" s="5">
        <f>M72/M73</f>
        <v>20.159999999999997</v>
      </c>
      <c r="N7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workbookViewId="0">
      <selection activeCell="F35" sqref="F35"/>
    </sheetView>
  </sheetViews>
  <sheetFormatPr baseColWidth="10" defaultRowHeight="16" x14ac:dyDescent="0.2"/>
  <cols>
    <col min="2" max="2" width="12.33203125" customWidth="1"/>
    <col min="8" max="8" width="14.5" customWidth="1"/>
  </cols>
  <sheetData>
    <row r="4" spans="2:8" x14ac:dyDescent="0.2">
      <c r="F4" t="s">
        <v>780</v>
      </c>
    </row>
    <row r="5" spans="2:8" x14ac:dyDescent="0.2">
      <c r="B5" t="s">
        <v>732</v>
      </c>
      <c r="C5">
        <v>0.78</v>
      </c>
      <c r="F5" t="s">
        <v>746</v>
      </c>
      <c r="G5">
        <v>0.79</v>
      </c>
      <c r="H5" t="s">
        <v>781</v>
      </c>
    </row>
    <row r="6" spans="2:8" x14ac:dyDescent="0.2">
      <c r="B6" t="s">
        <v>733</v>
      </c>
      <c r="C6">
        <v>0.20899999999999999</v>
      </c>
      <c r="D6" s="75">
        <f>C6*D$10</f>
        <v>0.95000000000000007</v>
      </c>
      <c r="F6" t="s">
        <v>747</v>
      </c>
      <c r="G6">
        <v>0.21</v>
      </c>
      <c r="H6" t="s">
        <v>763</v>
      </c>
    </row>
    <row r="7" spans="2:8" x14ac:dyDescent="0.2">
      <c r="B7" t="s">
        <v>734</v>
      </c>
      <c r="C7">
        <v>8.9999999999999993E-3</v>
      </c>
      <c r="D7" s="75">
        <f t="shared" ref="D7:D8" si="0">C7*D$10</f>
        <v>4.0909090909090909E-2</v>
      </c>
    </row>
    <row r="8" spans="2:8" x14ac:dyDescent="0.2">
      <c r="B8" t="s">
        <v>735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764</v>
      </c>
    </row>
    <row r="9" spans="2:8" x14ac:dyDescent="0.2">
      <c r="C9">
        <f>SUM(C5:C8)</f>
        <v>1</v>
      </c>
      <c r="D9">
        <f>SUM(C6:C8)</f>
        <v>0.22</v>
      </c>
      <c r="G9" s="76">
        <f>G6-G8</f>
        <v>1.1449999999999988E-2</v>
      </c>
      <c r="H9" t="s">
        <v>765</v>
      </c>
    </row>
    <row r="10" spans="2:8" x14ac:dyDescent="0.2">
      <c r="D10" s="1">
        <f>C9/D9</f>
        <v>4.5454545454545459</v>
      </c>
      <c r="E10" t="s">
        <v>750</v>
      </c>
    </row>
    <row r="13" spans="2:8" x14ac:dyDescent="0.2">
      <c r="B13" t="s">
        <v>755</v>
      </c>
      <c r="C13">
        <v>22</v>
      </c>
      <c r="D13" t="s">
        <v>738</v>
      </c>
      <c r="E13" t="s">
        <v>756</v>
      </c>
    </row>
    <row r="14" spans="2:8" x14ac:dyDescent="0.2">
      <c r="B14" t="s">
        <v>739</v>
      </c>
      <c r="C14">
        <v>0.72</v>
      </c>
      <c r="E14" t="s">
        <v>757</v>
      </c>
    </row>
    <row r="15" spans="2:8" x14ac:dyDescent="0.2">
      <c r="B15" t="s">
        <v>740</v>
      </c>
      <c r="C15">
        <f>C13*C14</f>
        <v>15.84</v>
      </c>
      <c r="D15" t="s">
        <v>738</v>
      </c>
      <c r="E15" t="s">
        <v>751</v>
      </c>
    </row>
    <row r="17" spans="2:9" x14ac:dyDescent="0.2">
      <c r="B17" t="s">
        <v>741</v>
      </c>
      <c r="C17">
        <v>1.8</v>
      </c>
      <c r="D17" t="s">
        <v>5</v>
      </c>
    </row>
    <row r="18" spans="2:9" x14ac:dyDescent="0.2">
      <c r="B18" t="s">
        <v>742</v>
      </c>
      <c r="C18">
        <f>C15*C17</f>
        <v>28.512</v>
      </c>
      <c r="D18" t="s">
        <v>355</v>
      </c>
      <c r="E18" t="s">
        <v>752</v>
      </c>
    </row>
    <row r="20" spans="2:9" x14ac:dyDescent="0.2">
      <c r="B20" t="s">
        <v>744</v>
      </c>
      <c r="C20">
        <v>20</v>
      </c>
      <c r="D20" t="s">
        <v>17</v>
      </c>
    </row>
    <row r="21" spans="2:9" x14ac:dyDescent="0.2">
      <c r="B21" t="s">
        <v>745</v>
      </c>
      <c r="C21">
        <v>0.6</v>
      </c>
      <c r="E21" t="s">
        <v>753</v>
      </c>
    </row>
    <row r="22" spans="2:9" x14ac:dyDescent="0.2">
      <c r="B22" t="s">
        <v>743</v>
      </c>
      <c r="C22" s="2">
        <f>C20/C21/(1-G5)</f>
        <v>158.73015873015876</v>
      </c>
      <c r="D22" t="s">
        <v>17</v>
      </c>
      <c r="E22" t="s">
        <v>761</v>
      </c>
    </row>
    <row r="23" spans="2:9" x14ac:dyDescent="0.2">
      <c r="B23" t="s">
        <v>758</v>
      </c>
      <c r="C23" s="2">
        <f>C22*(C28/60)</f>
        <v>36.09113924050633</v>
      </c>
      <c r="D23" t="s">
        <v>759</v>
      </c>
      <c r="E23" t="s">
        <v>760</v>
      </c>
    </row>
    <row r="24" spans="2:9" x14ac:dyDescent="0.2">
      <c r="B24" t="s">
        <v>773</v>
      </c>
      <c r="C24" s="2">
        <f>C20*(C28/60)</f>
        <v>4.5474835443037964</v>
      </c>
      <c r="D24" t="s">
        <v>355</v>
      </c>
      <c r="E24" t="s">
        <v>779</v>
      </c>
    </row>
    <row r="25" spans="2:9" x14ac:dyDescent="0.2">
      <c r="B25" t="s">
        <v>774</v>
      </c>
      <c r="C25" s="2">
        <f>C24/C21-C24</f>
        <v>3.0316556962025309</v>
      </c>
      <c r="D25" t="s">
        <v>355</v>
      </c>
      <c r="E25" t="s">
        <v>778</v>
      </c>
      <c r="I25" t="s">
        <v>782</v>
      </c>
    </row>
    <row r="26" spans="2:9" x14ac:dyDescent="0.2">
      <c r="C26" s="2"/>
    </row>
    <row r="27" spans="2:9" x14ac:dyDescent="0.2">
      <c r="B27" t="s">
        <v>748</v>
      </c>
      <c r="C27" s="2">
        <f>C22*G5</f>
        <v>125.39682539682543</v>
      </c>
      <c r="D27" t="s">
        <v>17</v>
      </c>
      <c r="E27" t="s">
        <v>767</v>
      </c>
    </row>
    <row r="28" spans="2:9" x14ac:dyDescent="0.2">
      <c r="B28" t="s">
        <v>749</v>
      </c>
      <c r="C28" s="2">
        <f>C18/C27*60</f>
        <v>13.642450632911389</v>
      </c>
      <c r="D28" t="s">
        <v>362</v>
      </c>
      <c r="E28" t="s">
        <v>762</v>
      </c>
    </row>
    <row r="31" spans="2:9" x14ac:dyDescent="0.2">
      <c r="B31" t="s">
        <v>754</v>
      </c>
      <c r="C31" s="2">
        <f>C18/(C28/60)</f>
        <v>125.39682539682543</v>
      </c>
      <c r="D31" t="s">
        <v>17</v>
      </c>
      <c r="E31" t="s">
        <v>766</v>
      </c>
    </row>
    <row r="33" spans="2:4" x14ac:dyDescent="0.2">
      <c r="B33" t="s">
        <v>775</v>
      </c>
      <c r="C33" s="2">
        <f>C23-C18</f>
        <v>7.5791392405063291</v>
      </c>
      <c r="D33" t="s">
        <v>17</v>
      </c>
    </row>
    <row r="34" spans="2:4" x14ac:dyDescent="0.2">
      <c r="B34" t="s">
        <v>776</v>
      </c>
      <c r="C34" s="2">
        <f>C33*C21</f>
        <v>4.5474835443037973</v>
      </c>
      <c r="D34" t="s">
        <v>17</v>
      </c>
    </row>
    <row r="35" spans="2:4" x14ac:dyDescent="0.2">
      <c r="B35" t="s">
        <v>777</v>
      </c>
      <c r="C35" s="2">
        <f>C33-C34</f>
        <v>3.0316556962025318</v>
      </c>
      <c r="D35" t="s">
        <v>17</v>
      </c>
    </row>
    <row r="37" spans="2:4" x14ac:dyDescent="0.2">
      <c r="B37" t="s">
        <v>825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workbookViewId="0">
      <selection activeCell="P20" sqref="P20"/>
    </sheetView>
  </sheetViews>
  <sheetFormatPr baseColWidth="10" defaultRowHeight="16" x14ac:dyDescent="0.2"/>
  <cols>
    <col min="2" max="2" width="12.33203125" customWidth="1"/>
    <col min="10" max="10" width="14.5" customWidth="1"/>
  </cols>
  <sheetData>
    <row r="3" spans="2:10" x14ac:dyDescent="0.2">
      <c r="B3" t="s">
        <v>783</v>
      </c>
    </row>
    <row r="4" spans="2:10" x14ac:dyDescent="0.2">
      <c r="H4" t="s">
        <v>780</v>
      </c>
    </row>
    <row r="5" spans="2:10" x14ac:dyDescent="0.2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 x14ac:dyDescent="0.2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 x14ac:dyDescent="0.2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 x14ac:dyDescent="0.2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 x14ac:dyDescent="0.2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 x14ac:dyDescent="0.2">
      <c r="F10" s="1">
        <f>C9/F9</f>
        <v>4.5454545454545459</v>
      </c>
      <c r="G10" t="s">
        <v>750</v>
      </c>
    </row>
    <row r="13" spans="2:10" x14ac:dyDescent="0.2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 x14ac:dyDescent="0.2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 x14ac:dyDescent="0.2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 x14ac:dyDescent="0.2">
      <c r="B17" t="s">
        <v>741</v>
      </c>
      <c r="C17">
        <v>1.8</v>
      </c>
      <c r="D17">
        <v>0.5</v>
      </c>
      <c r="E17">
        <v>0.5</v>
      </c>
      <c r="F17" t="s">
        <v>5</v>
      </c>
    </row>
    <row r="18" spans="2:11" x14ac:dyDescent="0.2">
      <c r="B18" t="s">
        <v>742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752</v>
      </c>
    </row>
    <row r="20" spans="2:11" x14ac:dyDescent="0.2">
      <c r="B20" t="s">
        <v>744</v>
      </c>
      <c r="C20">
        <v>33.33</v>
      </c>
      <c r="D20">
        <v>20</v>
      </c>
      <c r="E20">
        <v>10</v>
      </c>
      <c r="F20" t="s">
        <v>17</v>
      </c>
    </row>
    <row r="21" spans="2:11" x14ac:dyDescent="0.2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 x14ac:dyDescent="0.2">
      <c r="B22" t="s">
        <v>743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761</v>
      </c>
    </row>
    <row r="23" spans="2:11" x14ac:dyDescent="0.2">
      <c r="B23" t="s">
        <v>758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759</v>
      </c>
      <c r="G23" t="s">
        <v>760</v>
      </c>
    </row>
    <row r="24" spans="2:11" x14ac:dyDescent="0.2">
      <c r="B24" t="s">
        <v>773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779</v>
      </c>
    </row>
    <row r="25" spans="2:11" x14ac:dyDescent="0.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 x14ac:dyDescent="0.2">
      <c r="C26" s="2"/>
      <c r="D26" s="2"/>
      <c r="E26" s="2"/>
    </row>
    <row r="27" spans="2:11" x14ac:dyDescent="0.2">
      <c r="B27" t="s">
        <v>748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767</v>
      </c>
    </row>
    <row r="28" spans="2:11" x14ac:dyDescent="0.2">
      <c r="B28" t="s">
        <v>749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762</v>
      </c>
    </row>
    <row r="31" spans="2:11" x14ac:dyDescent="0.2">
      <c r="B31" t="s">
        <v>754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766</v>
      </c>
    </row>
    <row r="33" spans="3:6" x14ac:dyDescent="0.2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775</v>
      </c>
    </row>
    <row r="34" spans="3:6" x14ac:dyDescent="0.2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776</v>
      </c>
    </row>
    <row r="35" spans="3:6" x14ac:dyDescent="0.2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 x14ac:dyDescent="0.2"/>
  <cols>
    <col min="2" max="2" width="12.33203125" customWidth="1"/>
    <col min="11" max="11" width="14.5" customWidth="1"/>
  </cols>
  <sheetData>
    <row r="3" spans="2:11" x14ac:dyDescent="0.2">
      <c r="B3" t="s">
        <v>783</v>
      </c>
    </row>
    <row r="4" spans="2:11" x14ac:dyDescent="0.2">
      <c r="I4" t="s">
        <v>780</v>
      </c>
    </row>
    <row r="5" spans="2:11" x14ac:dyDescent="0.2">
      <c r="B5" t="s">
        <v>732</v>
      </c>
      <c r="C5">
        <v>0.78</v>
      </c>
      <c r="D5">
        <v>0.78</v>
      </c>
      <c r="E5">
        <v>0.78</v>
      </c>
      <c r="F5">
        <v>0.78</v>
      </c>
      <c r="I5" t="s">
        <v>746</v>
      </c>
      <c r="J5">
        <v>0.79</v>
      </c>
      <c r="K5" t="s">
        <v>781</v>
      </c>
    </row>
    <row r="6" spans="2:11" x14ac:dyDescent="0.2">
      <c r="B6" t="s">
        <v>733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747</v>
      </c>
      <c r="J6">
        <v>0.21</v>
      </c>
      <c r="K6" t="s">
        <v>763</v>
      </c>
    </row>
    <row r="7" spans="2:11" x14ac:dyDescent="0.2">
      <c r="B7" t="s">
        <v>734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 x14ac:dyDescent="0.2">
      <c r="B8" t="s">
        <v>735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764</v>
      </c>
    </row>
    <row r="9" spans="2:11" x14ac:dyDescent="0.2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765</v>
      </c>
    </row>
    <row r="10" spans="2:11" x14ac:dyDescent="0.2">
      <c r="G10" s="1">
        <f>C9/G9</f>
        <v>4.5454545454545459</v>
      </c>
      <c r="H10" t="s">
        <v>750</v>
      </c>
    </row>
    <row r="13" spans="2:11" x14ac:dyDescent="0.2">
      <c r="B13" t="s">
        <v>755</v>
      </c>
      <c r="C13">
        <v>22</v>
      </c>
      <c r="D13">
        <v>22</v>
      </c>
      <c r="E13">
        <v>22</v>
      </c>
      <c r="F13">
        <v>22</v>
      </c>
      <c r="G13" t="s">
        <v>738</v>
      </c>
      <c r="H13" t="s">
        <v>756</v>
      </c>
    </row>
    <row r="14" spans="2:11" x14ac:dyDescent="0.2">
      <c r="B14" t="s">
        <v>739</v>
      </c>
      <c r="C14">
        <v>0.7</v>
      </c>
      <c r="D14">
        <v>0.7</v>
      </c>
      <c r="E14">
        <v>0.7</v>
      </c>
      <c r="F14">
        <v>0.7</v>
      </c>
      <c r="H14" t="s">
        <v>757</v>
      </c>
    </row>
    <row r="15" spans="2:11" x14ac:dyDescent="0.2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738</v>
      </c>
      <c r="H15" t="s">
        <v>751</v>
      </c>
    </row>
    <row r="17" spans="2:12" x14ac:dyDescent="0.2">
      <c r="B17" t="s">
        <v>741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 x14ac:dyDescent="0.2">
      <c r="B18" t="s">
        <v>742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752</v>
      </c>
    </row>
    <row r="20" spans="2:12" x14ac:dyDescent="0.2">
      <c r="B20" t="s">
        <v>744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 x14ac:dyDescent="0.2">
      <c r="B21" t="s">
        <v>745</v>
      </c>
      <c r="C21">
        <v>1</v>
      </c>
      <c r="D21">
        <v>1</v>
      </c>
      <c r="E21">
        <v>1</v>
      </c>
      <c r="F21">
        <v>1</v>
      </c>
      <c r="H21" t="s">
        <v>753</v>
      </c>
    </row>
    <row r="22" spans="2:12" x14ac:dyDescent="0.2">
      <c r="B22" t="s">
        <v>743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761</v>
      </c>
    </row>
    <row r="23" spans="2:12" x14ac:dyDescent="0.2">
      <c r="B23" t="s">
        <v>758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759</v>
      </c>
      <c r="H23" t="s">
        <v>760</v>
      </c>
    </row>
    <row r="24" spans="2:12" x14ac:dyDescent="0.2">
      <c r="B24" t="s">
        <v>773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779</v>
      </c>
    </row>
    <row r="25" spans="2:12" x14ac:dyDescent="0.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778</v>
      </c>
      <c r="L25" t="s">
        <v>782</v>
      </c>
    </row>
    <row r="26" spans="2:12" x14ac:dyDescent="0.2">
      <c r="C26" s="2"/>
      <c r="D26" s="2"/>
      <c r="E26" s="2"/>
      <c r="F26" s="2"/>
    </row>
    <row r="27" spans="2:12" x14ac:dyDescent="0.2">
      <c r="B27" t="s">
        <v>748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767</v>
      </c>
    </row>
    <row r="28" spans="2:12" x14ac:dyDescent="0.2">
      <c r="B28" t="s">
        <v>749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762</v>
      </c>
    </row>
    <row r="31" spans="2:12" x14ac:dyDescent="0.2">
      <c r="B31" t="s">
        <v>754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766</v>
      </c>
    </row>
    <row r="33" spans="3:7" x14ac:dyDescent="0.2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775</v>
      </c>
    </row>
    <row r="34" spans="3:7" x14ac:dyDescent="0.2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776</v>
      </c>
    </row>
    <row r="35" spans="3:7" x14ac:dyDescent="0.2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topLeftCell="A2" workbookViewId="0">
      <selection activeCell="D20" sqref="D20"/>
    </sheetView>
  </sheetViews>
  <sheetFormatPr baseColWidth="10" defaultRowHeight="16" x14ac:dyDescent="0.2"/>
  <cols>
    <col min="2" max="2" width="12.33203125" customWidth="1"/>
    <col min="10" max="10" width="14.5" customWidth="1"/>
  </cols>
  <sheetData>
    <row r="3" spans="2:10" x14ac:dyDescent="0.2">
      <c r="B3" t="s">
        <v>783</v>
      </c>
    </row>
    <row r="4" spans="2:10" x14ac:dyDescent="0.2">
      <c r="H4" t="s">
        <v>780</v>
      </c>
    </row>
    <row r="5" spans="2:10" x14ac:dyDescent="0.2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 x14ac:dyDescent="0.2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 x14ac:dyDescent="0.2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 x14ac:dyDescent="0.2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 x14ac:dyDescent="0.2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 x14ac:dyDescent="0.2">
      <c r="F10" s="1">
        <f>C9/F9</f>
        <v>4.5454545454545459</v>
      </c>
      <c r="G10" t="s">
        <v>750</v>
      </c>
    </row>
    <row r="13" spans="2:10" x14ac:dyDescent="0.2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 x14ac:dyDescent="0.2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 x14ac:dyDescent="0.2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 x14ac:dyDescent="0.2">
      <c r="B17" t="s">
        <v>741</v>
      </c>
      <c r="C17">
        <v>1.8</v>
      </c>
      <c r="D17">
        <v>10</v>
      </c>
      <c r="E17">
        <v>10</v>
      </c>
      <c r="F17" t="s">
        <v>5</v>
      </c>
    </row>
    <row r="18" spans="2:11" x14ac:dyDescent="0.2">
      <c r="B18" t="s">
        <v>742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752</v>
      </c>
    </row>
    <row r="20" spans="2:11" x14ac:dyDescent="0.2">
      <c r="B20" t="s">
        <v>744</v>
      </c>
      <c r="C20">
        <v>33.33</v>
      </c>
      <c r="D20">
        <v>100</v>
      </c>
      <c r="E20">
        <v>50</v>
      </c>
      <c r="F20" t="s">
        <v>17</v>
      </c>
    </row>
    <row r="21" spans="2:11" x14ac:dyDescent="0.2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 x14ac:dyDescent="0.2">
      <c r="B22" t="s">
        <v>743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761</v>
      </c>
    </row>
    <row r="23" spans="2:11" x14ac:dyDescent="0.2">
      <c r="B23" t="s">
        <v>758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759</v>
      </c>
      <c r="G23" t="s">
        <v>760</v>
      </c>
    </row>
    <row r="24" spans="2:11" x14ac:dyDescent="0.2">
      <c r="B24" t="s">
        <v>773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779</v>
      </c>
    </row>
    <row r="25" spans="2:11" x14ac:dyDescent="0.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 x14ac:dyDescent="0.2">
      <c r="C26" s="2"/>
      <c r="D26" s="2"/>
      <c r="E26" s="2"/>
    </row>
    <row r="27" spans="2:11" x14ac:dyDescent="0.2">
      <c r="B27" t="s">
        <v>748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767</v>
      </c>
    </row>
    <row r="28" spans="2:11" x14ac:dyDescent="0.2">
      <c r="B28" t="s">
        <v>749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762</v>
      </c>
    </row>
    <row r="31" spans="2:11" x14ac:dyDescent="0.2">
      <c r="B31" t="s">
        <v>754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766</v>
      </c>
    </row>
    <row r="33" spans="3:6" x14ac:dyDescent="0.2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775</v>
      </c>
    </row>
    <row r="34" spans="3:6" x14ac:dyDescent="0.2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776</v>
      </c>
    </row>
    <row r="35" spans="3:6" x14ac:dyDescent="0.2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Volume</vt:lpstr>
      <vt:lpstr>Compressor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2021-12-09T18:19:42Z</dcterms:modified>
</cp:coreProperties>
</file>