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ckos01/Desktop/O24U/documents/"/>
    </mc:Choice>
  </mc:AlternateContent>
  <xr:revisionPtr revIDLastSave="0" documentId="13_ncr:1_{B17CBD7D-5F50-D844-83E8-2E52CFBE5EDD}" xr6:coauthVersionLast="36" xr6:coauthVersionMax="36" xr10:uidLastSave="{00000000-0000-0000-0000-000000000000}"/>
  <bookViews>
    <workbookView xWindow="3100" yWindow="500" windowWidth="25120" windowHeight="16820" tabRatio="500" firstSheet="12" activeTab="20" xr2:uid="{00000000-000D-0000-FFFF-FFFF00000000}"/>
  </bookViews>
  <sheets>
    <sheet name="Volume" sheetId="1" r:id="rId1"/>
    <sheet name="Compressor" sheetId="14" r:id="rId2"/>
    <sheet name="scratch" sheetId="32" r:id="rId3"/>
    <sheet name="Convection" sheetId="31" r:id="rId4"/>
    <sheet name="Volume-radialflow" sheetId="26" r:id="rId5"/>
    <sheet name="isotherm" sheetId="18" r:id="rId6"/>
    <sheet name="Model-O24U" sheetId="21" r:id="rId7"/>
    <sheet name="Model-tester" sheetId="24" r:id="rId8"/>
    <sheet name="model-puffer" sheetId="23" r:id="rId9"/>
    <sheet name="Model-VPSA" sheetId="22" r:id="rId10"/>
    <sheet name="BOMcost" sheetId="25" r:id="rId11"/>
    <sheet name="intercooler" sheetId="10" r:id="rId12"/>
    <sheet name="Heater" sheetId="6" r:id="rId13"/>
    <sheet name="Valves" sheetId="2" r:id="rId14"/>
    <sheet name="Materials" sheetId="9" r:id="rId15"/>
    <sheet name="Things I have built" sheetId="7" r:id="rId16"/>
    <sheet name="vacuum +velocity" sheetId="5" r:id="rId17"/>
    <sheet name="Column HW" sheetId="8" r:id="rId18"/>
    <sheet name="electrical" sheetId="3" r:id="rId19"/>
    <sheet name="bom" sheetId="4" r:id="rId20"/>
    <sheet name="EquipmentList" sheetId="11" r:id="rId21"/>
    <sheet name="RTU config" sheetId="12" r:id="rId22"/>
    <sheet name="O2 RTU" sheetId="13" r:id="rId23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32" l="1"/>
  <c r="M149" i="14" l="1"/>
  <c r="M154" i="14" s="1"/>
  <c r="M156" i="14" s="1"/>
  <c r="L149" i="14"/>
  <c r="L154" i="14" s="1"/>
  <c r="L156" i="14" s="1"/>
  <c r="K149" i="14"/>
  <c r="K154" i="14" s="1"/>
  <c r="K156" i="14" s="1"/>
  <c r="J149" i="14"/>
  <c r="J154" i="14" s="1"/>
  <c r="J156" i="14" s="1"/>
  <c r="I149" i="14"/>
  <c r="I154" i="14" s="1"/>
  <c r="I156" i="14" s="1"/>
  <c r="H149" i="14"/>
  <c r="H154" i="14" s="1"/>
  <c r="H156" i="14" s="1"/>
  <c r="G149" i="14"/>
  <c r="G154" i="14" s="1"/>
  <c r="G156" i="14" s="1"/>
  <c r="F149" i="14"/>
  <c r="F154" i="14" s="1"/>
  <c r="F156" i="14" s="1"/>
  <c r="E149" i="14"/>
  <c r="E154" i="14" s="1"/>
  <c r="E156" i="14" s="1"/>
  <c r="D149" i="14"/>
  <c r="D154" i="14" s="1"/>
  <c r="D156" i="14" s="1"/>
  <c r="D9" i="14"/>
  <c r="D8" i="14"/>
  <c r="D7" i="14"/>
  <c r="M124" i="14" l="1"/>
  <c r="M121" i="14"/>
  <c r="M122" i="14"/>
  <c r="M123" i="14"/>
  <c r="M125" i="14"/>
  <c r="M126" i="14"/>
  <c r="M127" i="14"/>
  <c r="M120" i="14"/>
  <c r="M103" i="14"/>
  <c r="M104" i="14"/>
  <c r="M105" i="14"/>
  <c r="M106" i="14"/>
  <c r="M107" i="14"/>
  <c r="M108" i="14"/>
  <c r="F104" i="14"/>
  <c r="F105" i="14"/>
  <c r="F106" i="14"/>
  <c r="F103" i="14"/>
  <c r="F117" i="14"/>
  <c r="F118" i="14"/>
  <c r="F119" i="14"/>
  <c r="F116" i="14"/>
  <c r="E119" i="14"/>
  <c r="E118" i="14"/>
  <c r="E117" i="14"/>
  <c r="E116" i="14"/>
  <c r="E113" i="14"/>
  <c r="E112" i="14"/>
  <c r="E111" i="14"/>
  <c r="E110" i="14"/>
  <c r="M116" i="14"/>
  <c r="M115" i="14"/>
  <c r="M114" i="14"/>
  <c r="M113" i="14"/>
  <c r="M112" i="14"/>
  <c r="M111" i="14"/>
  <c r="E104" i="14"/>
  <c r="E103" i="14"/>
  <c r="E105" i="14"/>
  <c r="E106" i="14"/>
  <c r="M65" i="18"/>
  <c r="N65" i="18"/>
  <c r="P65" i="18"/>
  <c r="O65" i="18"/>
  <c r="G65" i="18"/>
  <c r="F65" i="18"/>
  <c r="G66" i="18"/>
  <c r="G67" i="18" s="1"/>
  <c r="G68" i="18" s="1"/>
  <c r="H66" i="18"/>
  <c r="I66" i="18"/>
  <c r="J66" i="18"/>
  <c r="K66" i="18"/>
  <c r="L66" i="18"/>
  <c r="M66" i="18"/>
  <c r="N66" i="18"/>
  <c r="N67" i="18" s="1"/>
  <c r="N68" i="18" s="1"/>
  <c r="O66" i="18"/>
  <c r="O67" i="18" s="1"/>
  <c r="O68" i="18" s="1"/>
  <c r="P66" i="18"/>
  <c r="F66" i="18"/>
  <c r="F67" i="18" s="1"/>
  <c r="F68" i="18" s="1"/>
  <c r="C66" i="18"/>
  <c r="C67" i="18" s="1"/>
  <c r="C68" i="18" s="1"/>
  <c r="D66" i="18"/>
  <c r="D65" i="18"/>
  <c r="H65" i="18"/>
  <c r="I65" i="18"/>
  <c r="J65" i="18"/>
  <c r="K65" i="18"/>
  <c r="K67" i="18" s="1"/>
  <c r="K68" i="18" s="1"/>
  <c r="L65" i="18"/>
  <c r="D67" i="18"/>
  <c r="D68" i="18" s="1"/>
  <c r="J67" i="18"/>
  <c r="J68" i="18" s="1"/>
  <c r="H67" i="18"/>
  <c r="H68" i="18" s="1"/>
  <c r="I67" i="18"/>
  <c r="I68" i="18" s="1"/>
  <c r="L67" i="18"/>
  <c r="L68" i="18" s="1"/>
  <c r="M67" i="18"/>
  <c r="M68" i="18" s="1"/>
  <c r="P67" i="18"/>
  <c r="P68" i="18" s="1"/>
  <c r="C65" i="18"/>
  <c r="E89" i="1"/>
  <c r="G89" i="1" s="1"/>
  <c r="F89" i="1"/>
  <c r="E88" i="1"/>
  <c r="F88" i="1"/>
  <c r="G88" i="1" s="1"/>
  <c r="C47" i="25"/>
  <c r="B27" i="25"/>
  <c r="B28" i="25"/>
  <c r="B30" i="25"/>
  <c r="C30" i="25"/>
  <c r="C28" i="25"/>
  <c r="C27" i="25"/>
  <c r="C50" i="18"/>
  <c r="D50" i="18"/>
  <c r="D51" i="18" s="1"/>
  <c r="D52" i="18" s="1"/>
  <c r="C41" i="18"/>
  <c r="D41" i="18"/>
  <c r="D47" i="18" s="1"/>
  <c r="C43" i="18"/>
  <c r="D43" i="18"/>
  <c r="D44" i="18" s="1"/>
  <c r="C22" i="25"/>
  <c r="C24" i="25" s="1"/>
  <c r="B22" i="25"/>
  <c r="B24" i="25" s="1"/>
  <c r="P95" i="14"/>
  <c r="N95" i="14" s="1"/>
  <c r="P94" i="14"/>
  <c r="N94" i="14" s="1"/>
  <c r="E95" i="14"/>
  <c r="G95" i="14" s="1"/>
  <c r="H95" i="14" s="1"/>
  <c r="O95" i="14" s="1"/>
  <c r="E94" i="14"/>
  <c r="G94" i="14" s="1"/>
  <c r="H94" i="14" s="1"/>
  <c r="O94" i="14" s="1"/>
  <c r="E92" i="14"/>
  <c r="G92" i="14" s="1"/>
  <c r="H92" i="14" s="1"/>
  <c r="O92" i="14" s="1"/>
  <c r="P93" i="14"/>
  <c r="N93" i="14" s="1"/>
  <c r="P92" i="14"/>
  <c r="N92" i="14" s="1"/>
  <c r="E93" i="14"/>
  <c r="G93" i="14" s="1"/>
  <c r="J83" i="1"/>
  <c r="F83" i="1"/>
  <c r="E83" i="1"/>
  <c r="F38" i="1"/>
  <c r="E38" i="1"/>
  <c r="G38" i="1" s="1"/>
  <c r="I38" i="1" s="1"/>
  <c r="J38" i="1" s="1"/>
  <c r="K38" i="1" s="1"/>
  <c r="U46" i="1"/>
  <c r="U49" i="1" s="1"/>
  <c r="U45" i="1"/>
  <c r="U58" i="1" s="1"/>
  <c r="U44" i="1"/>
  <c r="F85" i="1"/>
  <c r="E85" i="1"/>
  <c r="F82" i="1"/>
  <c r="E82" i="1"/>
  <c r="F87" i="1"/>
  <c r="E87" i="1"/>
  <c r="F86" i="1"/>
  <c r="E86" i="1"/>
  <c r="E26" i="2"/>
  <c r="F26" i="2"/>
  <c r="G26" i="2"/>
  <c r="G29" i="2" s="1"/>
  <c r="E27" i="2"/>
  <c r="F27" i="2"/>
  <c r="G27" i="2"/>
  <c r="D27" i="2"/>
  <c r="D26" i="2"/>
  <c r="D30" i="2" s="1"/>
  <c r="C24" i="6"/>
  <c r="E13" i="6"/>
  <c r="E16" i="6" s="1"/>
  <c r="D13" i="6"/>
  <c r="F24" i="31"/>
  <c r="F29" i="31"/>
  <c r="F30" i="31" s="1"/>
  <c r="F31" i="31" s="1"/>
  <c r="F32" i="31" s="1"/>
  <c r="F34" i="31" s="1"/>
  <c r="F36" i="31"/>
  <c r="E36" i="31"/>
  <c r="E29" i="31"/>
  <c r="E30" i="31" s="1"/>
  <c r="E31" i="31" s="1"/>
  <c r="E32" i="31" s="1"/>
  <c r="E34" i="31" s="1"/>
  <c r="E24" i="31"/>
  <c r="H43" i="18"/>
  <c r="U50" i="18"/>
  <c r="O43" i="18"/>
  <c r="T69" i="1"/>
  <c r="S69" i="1"/>
  <c r="S70" i="1"/>
  <c r="I43" i="18"/>
  <c r="J43" i="18"/>
  <c r="M43" i="18"/>
  <c r="L43" i="18"/>
  <c r="F43" i="18"/>
  <c r="P43" i="18"/>
  <c r="N43" i="18"/>
  <c r="K43" i="18"/>
  <c r="B29" i="25" l="1"/>
  <c r="C29" i="25"/>
  <c r="C31" i="25" s="1"/>
  <c r="B31" i="25"/>
  <c r="C51" i="18"/>
  <c r="C52" i="18" s="1"/>
  <c r="C44" i="18"/>
  <c r="C54" i="18" s="1"/>
  <c r="C55" i="18" s="1"/>
  <c r="C47" i="18"/>
  <c r="D60" i="18"/>
  <c r="D54" i="18"/>
  <c r="D45" i="18"/>
  <c r="Q94" i="14"/>
  <c r="S94" i="14" s="1"/>
  <c r="Q95" i="14"/>
  <c r="H93" i="14"/>
  <c r="O93" i="14" s="1"/>
  <c r="Q93" i="14" s="1"/>
  <c r="S93" i="14" s="1"/>
  <c r="Q92" i="14"/>
  <c r="J92" i="14" s="1"/>
  <c r="U48" i="1"/>
  <c r="G85" i="1"/>
  <c r="G82" i="1"/>
  <c r="I82" i="1" s="1"/>
  <c r="J82" i="1" s="1"/>
  <c r="K82" i="1" s="1"/>
  <c r="G83" i="1"/>
  <c r="I83" i="1" s="1"/>
  <c r="U50" i="1"/>
  <c r="U56" i="1" s="1"/>
  <c r="U60" i="1" s="1"/>
  <c r="U61" i="1" s="1"/>
  <c r="G86" i="1"/>
  <c r="I86" i="1" s="1"/>
  <c r="G87" i="1"/>
  <c r="E29" i="2"/>
  <c r="F29" i="2"/>
  <c r="G30" i="2"/>
  <c r="F30" i="2"/>
  <c r="E30" i="2"/>
  <c r="D29" i="2"/>
  <c r="F39" i="31"/>
  <c r="E39" i="31"/>
  <c r="G43" i="18"/>
  <c r="J86" i="1" l="1"/>
  <c r="K86" i="1" s="1"/>
  <c r="C57" i="18"/>
  <c r="C45" i="18"/>
  <c r="C60" i="18"/>
  <c r="D55" i="18"/>
  <c r="D57" i="18"/>
  <c r="D61" i="18" s="1"/>
  <c r="J94" i="14"/>
  <c r="S95" i="14"/>
  <c r="J95" i="14"/>
  <c r="J93" i="14"/>
  <c r="S92" i="14"/>
  <c r="K83" i="1"/>
  <c r="N83" i="1"/>
  <c r="O83" i="1" s="1"/>
  <c r="P83" i="1" s="1"/>
  <c r="C34" i="31"/>
  <c r="C23" i="31"/>
  <c r="C24" i="31" s="1"/>
  <c r="D23" i="31"/>
  <c r="D24" i="31" s="1"/>
  <c r="D35" i="31"/>
  <c r="D36" i="31" s="1"/>
  <c r="D29" i="31"/>
  <c r="D30" i="31" s="1"/>
  <c r="C35" i="31"/>
  <c r="C36" i="31" s="1"/>
  <c r="C39" i="31" s="1"/>
  <c r="C29" i="31"/>
  <c r="C30" i="31" s="1"/>
  <c r="T70" i="1"/>
  <c r="O69" i="1"/>
  <c r="O70" i="1" s="1"/>
  <c r="S44" i="1"/>
  <c r="S45" i="1"/>
  <c r="S48" i="1" s="1"/>
  <c r="S46" i="1"/>
  <c r="S49" i="1"/>
  <c r="D14" i="26"/>
  <c r="D15" i="26"/>
  <c r="D16" i="26" s="1"/>
  <c r="N109" i="1"/>
  <c r="N111" i="1" s="1"/>
  <c r="P70" i="1"/>
  <c r="N105" i="1"/>
  <c r="R69" i="1"/>
  <c r="R70" i="1" s="1"/>
  <c r="N70" i="1"/>
  <c r="Q70" i="1"/>
  <c r="M70" i="1"/>
  <c r="D65" i="1"/>
  <c r="I71" i="1" s="1"/>
  <c r="S71" i="1" s="1"/>
  <c r="S72" i="1" s="1"/>
  <c r="S73" i="1" s="1"/>
  <c r="I62" i="1"/>
  <c r="I63" i="1" s="1"/>
  <c r="I65" i="1" s="1"/>
  <c r="I66" i="1" s="1"/>
  <c r="G63" i="1"/>
  <c r="G65" i="1" s="1"/>
  <c r="G66" i="1" s="1"/>
  <c r="H63" i="1"/>
  <c r="H65" i="1" s="1"/>
  <c r="F81" i="1"/>
  <c r="E81" i="1"/>
  <c r="F76" i="1"/>
  <c r="E76" i="1"/>
  <c r="F80" i="1"/>
  <c r="E80" i="1"/>
  <c r="F79" i="1"/>
  <c r="E79" i="1"/>
  <c r="F77" i="1"/>
  <c r="E77" i="1"/>
  <c r="F78" i="1"/>
  <c r="E78" i="1"/>
  <c r="F35" i="1"/>
  <c r="E35" i="1"/>
  <c r="F27" i="1"/>
  <c r="E27" i="1"/>
  <c r="F36" i="1"/>
  <c r="E36" i="1"/>
  <c r="O46" i="1"/>
  <c r="O49" i="1" s="1"/>
  <c r="O45" i="1"/>
  <c r="O44" i="1"/>
  <c r="R46" i="1"/>
  <c r="R49" i="1" s="1"/>
  <c r="R45" i="1"/>
  <c r="R44" i="1"/>
  <c r="Q46" i="1"/>
  <c r="Q49" i="1" s="1"/>
  <c r="Q45" i="1"/>
  <c r="Q44" i="1"/>
  <c r="F56" i="1"/>
  <c r="E56" i="1"/>
  <c r="F55" i="1"/>
  <c r="E55" i="1"/>
  <c r="F54" i="1"/>
  <c r="E54" i="1"/>
  <c r="F53" i="1"/>
  <c r="E53" i="1"/>
  <c r="P45" i="1"/>
  <c r="P46" i="1"/>
  <c r="P49" i="1" s="1"/>
  <c r="P44" i="1"/>
  <c r="F50" i="1"/>
  <c r="E50" i="1"/>
  <c r="F22" i="23"/>
  <c r="F15" i="23"/>
  <c r="F18" i="23" s="1"/>
  <c r="F9" i="23"/>
  <c r="R10" i="2"/>
  <c r="R14" i="2" s="1"/>
  <c r="R11" i="2"/>
  <c r="Q11" i="2"/>
  <c r="Q10" i="2"/>
  <c r="Q14" i="2" s="1"/>
  <c r="P11" i="2"/>
  <c r="P10" i="2"/>
  <c r="P14" i="2" s="1"/>
  <c r="O29" i="1"/>
  <c r="G47" i="1"/>
  <c r="I47" i="1" s="1"/>
  <c r="J47" i="1" s="1"/>
  <c r="K47" i="1" s="1"/>
  <c r="C61" i="18" l="1"/>
  <c r="S50" i="1"/>
  <c r="S56" i="1" s="1"/>
  <c r="S60" i="1" s="1"/>
  <c r="S61" i="1" s="1"/>
  <c r="P71" i="1"/>
  <c r="P72" i="1" s="1"/>
  <c r="P73" i="1" s="1"/>
  <c r="N82" i="1"/>
  <c r="O82" i="1" s="1"/>
  <c r="D31" i="31"/>
  <c r="D32" i="31" s="1"/>
  <c r="D34" i="31" s="1"/>
  <c r="D39" i="31" s="1"/>
  <c r="C31" i="31"/>
  <c r="C32" i="31" s="1"/>
  <c r="S58" i="1"/>
  <c r="G35" i="1"/>
  <c r="I35" i="1" s="1"/>
  <c r="J35" i="1" s="1"/>
  <c r="K35" i="1" s="1"/>
  <c r="G54" i="1"/>
  <c r="I54" i="1" s="1"/>
  <c r="J54" i="1" s="1"/>
  <c r="K54" i="1" s="1"/>
  <c r="M71" i="1"/>
  <c r="M72" i="1" s="1"/>
  <c r="M73" i="1" s="1"/>
  <c r="G53" i="1"/>
  <c r="I53" i="1" s="1"/>
  <c r="J53" i="1" s="1"/>
  <c r="K53" i="1" s="1"/>
  <c r="O58" i="1"/>
  <c r="G56" i="1"/>
  <c r="I56" i="1" s="1"/>
  <c r="J56" i="1" s="1"/>
  <c r="K56" i="1" s="1"/>
  <c r="Q71" i="1"/>
  <c r="Q72" i="1" s="1"/>
  <c r="Q73" i="1" s="1"/>
  <c r="N71" i="1"/>
  <c r="N72" i="1" s="1"/>
  <c r="N73" i="1" s="1"/>
  <c r="T71" i="1"/>
  <c r="T72" i="1" s="1"/>
  <c r="T73" i="1" s="1"/>
  <c r="R71" i="1"/>
  <c r="R72" i="1" s="1"/>
  <c r="R73" i="1" s="1"/>
  <c r="O71" i="1"/>
  <c r="O72" i="1" s="1"/>
  <c r="O73" i="1" s="1"/>
  <c r="G77" i="1"/>
  <c r="G80" i="1"/>
  <c r="G27" i="1"/>
  <c r="I27" i="1" s="1"/>
  <c r="J27" i="1" s="1"/>
  <c r="K27" i="1" s="1"/>
  <c r="J62" i="1"/>
  <c r="J63" i="1" s="1"/>
  <c r="J65" i="1" s="1"/>
  <c r="J66" i="1" s="1"/>
  <c r="G79" i="1"/>
  <c r="G76" i="1"/>
  <c r="G81" i="1"/>
  <c r="G78" i="1"/>
  <c r="G36" i="1"/>
  <c r="I36" i="1" s="1"/>
  <c r="J36" i="1" s="1"/>
  <c r="K36" i="1" s="1"/>
  <c r="O48" i="1"/>
  <c r="O50" i="1" s="1"/>
  <c r="O56" i="1" s="1"/>
  <c r="O60" i="1" s="1"/>
  <c r="O61" i="1" s="1"/>
  <c r="R58" i="1"/>
  <c r="P58" i="1"/>
  <c r="R48" i="1"/>
  <c r="R50" i="1" s="1"/>
  <c r="R56" i="1" s="1"/>
  <c r="R60" i="1" s="1"/>
  <c r="R61" i="1" s="1"/>
  <c r="P48" i="1"/>
  <c r="P50" i="1" s="1"/>
  <c r="P56" i="1" s="1"/>
  <c r="P60" i="1" s="1"/>
  <c r="P61" i="1" s="1"/>
  <c r="Q58" i="1"/>
  <c r="Q48" i="1"/>
  <c r="Q50" i="1" s="1"/>
  <c r="Q56" i="1" s="1"/>
  <c r="Q60" i="1" s="1"/>
  <c r="Q61" i="1" s="1"/>
  <c r="G55" i="1"/>
  <c r="I55" i="1" s="1"/>
  <c r="J55" i="1" s="1"/>
  <c r="K55" i="1" s="1"/>
  <c r="G50" i="1"/>
  <c r="I50" i="1" s="1"/>
  <c r="J50" i="1" s="1"/>
  <c r="K50" i="1" s="1"/>
  <c r="F27" i="23"/>
  <c r="F28" i="23" s="1"/>
  <c r="R13" i="2"/>
  <c r="Q13" i="2"/>
  <c r="P13" i="2"/>
  <c r="G46" i="1"/>
  <c r="I46" i="1" s="1"/>
  <c r="J46" i="1" s="1"/>
  <c r="K46" i="1" s="1"/>
  <c r="C37" i="21"/>
  <c r="P82" i="1" l="1"/>
  <c r="T82" i="1"/>
  <c r="I81" i="1"/>
  <c r="J81" i="1" s="1"/>
  <c r="N81" i="1" s="1"/>
  <c r="O81" i="1" s="1"/>
  <c r="P81" i="1" s="1"/>
  <c r="K62" i="1"/>
  <c r="K63" i="1" s="1"/>
  <c r="K65" i="1" s="1"/>
  <c r="K66" i="1" s="1"/>
  <c r="I78" i="1"/>
  <c r="J78" i="1" s="1"/>
  <c r="N78" i="1" s="1"/>
  <c r="I80" i="1"/>
  <c r="J80" i="1" s="1"/>
  <c r="N80" i="1" s="1"/>
  <c r="I76" i="1"/>
  <c r="J76" i="1" s="1"/>
  <c r="I77" i="1"/>
  <c r="J77" i="1" s="1"/>
  <c r="I79" i="1"/>
  <c r="J79" i="1" s="1"/>
  <c r="F24" i="23"/>
  <c r="F25" i="23" s="1"/>
  <c r="F31" i="23"/>
  <c r="F23" i="23"/>
  <c r="F33" i="23" s="1"/>
  <c r="G30" i="18"/>
  <c r="G27" i="18"/>
  <c r="F30" i="18"/>
  <c r="F27" i="18"/>
  <c r="E30" i="18"/>
  <c r="E27" i="18"/>
  <c r="D30" i="18"/>
  <c r="D27" i="18"/>
  <c r="C23" i="18"/>
  <c r="O16" i="25"/>
  <c r="O19" i="25" s="1"/>
  <c r="P16" i="25"/>
  <c r="P19" i="25" s="1"/>
  <c r="Q16" i="25"/>
  <c r="Q19" i="25" s="1"/>
  <c r="N16" i="25"/>
  <c r="N19" i="25" s="1"/>
  <c r="F43" i="1"/>
  <c r="E43" i="1"/>
  <c r="F40" i="1"/>
  <c r="E40" i="1"/>
  <c r="I31" i="14"/>
  <c r="I33" i="14" s="1"/>
  <c r="H31" i="14"/>
  <c r="H33" i="14" s="1"/>
  <c r="E22" i="24"/>
  <c r="D22" i="24"/>
  <c r="D27" i="24" s="1"/>
  <c r="C22" i="24"/>
  <c r="C27" i="24" s="1"/>
  <c r="E18" i="24"/>
  <c r="D18" i="24"/>
  <c r="E15" i="24"/>
  <c r="D15" i="24"/>
  <c r="C15" i="24"/>
  <c r="C18" i="24" s="1"/>
  <c r="F9" i="24"/>
  <c r="E9" i="24"/>
  <c r="D9" i="24"/>
  <c r="C9" i="24"/>
  <c r="F10" i="24" s="1"/>
  <c r="E22" i="23"/>
  <c r="D22" i="23"/>
  <c r="D27" i="23" s="1"/>
  <c r="C22" i="23"/>
  <c r="C27" i="23" s="1"/>
  <c r="E15" i="23"/>
  <c r="E18" i="23" s="1"/>
  <c r="D15" i="23"/>
  <c r="D18" i="23" s="1"/>
  <c r="C15" i="23"/>
  <c r="C18" i="23" s="1"/>
  <c r="G9" i="23"/>
  <c r="E9" i="23"/>
  <c r="D9" i="23"/>
  <c r="C9" i="23"/>
  <c r="G10" i="23" s="1"/>
  <c r="E22" i="22"/>
  <c r="E15" i="22"/>
  <c r="E18" i="22" s="1"/>
  <c r="E9" i="22"/>
  <c r="D22" i="22"/>
  <c r="D15" i="22"/>
  <c r="D18" i="22" s="1"/>
  <c r="D9" i="22"/>
  <c r="C27" i="22"/>
  <c r="C22" i="22"/>
  <c r="C15" i="22"/>
  <c r="C18" i="22" s="1"/>
  <c r="F9" i="22"/>
  <c r="C9" i="22"/>
  <c r="F10" i="22" s="1"/>
  <c r="G9" i="21"/>
  <c r="G8" i="21"/>
  <c r="C22" i="21"/>
  <c r="C27" i="21" s="1"/>
  <c r="C15" i="21"/>
  <c r="C18" i="21" s="1"/>
  <c r="F37" i="1"/>
  <c r="E37" i="1"/>
  <c r="D9" i="21"/>
  <c r="D10" i="21" s="1"/>
  <c r="C9" i="21"/>
  <c r="C7" i="18"/>
  <c r="C12" i="18"/>
  <c r="C14" i="18" s="1"/>
  <c r="E83" i="14"/>
  <c r="F83" i="14"/>
  <c r="G83" i="14"/>
  <c r="H83" i="14"/>
  <c r="I83" i="14"/>
  <c r="J83" i="14"/>
  <c r="K83" i="14"/>
  <c r="L83" i="14"/>
  <c r="M83" i="14"/>
  <c r="D83" i="14"/>
  <c r="M69" i="14"/>
  <c r="M74" i="14" s="1"/>
  <c r="M76" i="14" s="1"/>
  <c r="M86" i="14" s="1"/>
  <c r="L69" i="14"/>
  <c r="L74" i="14" s="1"/>
  <c r="L76" i="14" s="1"/>
  <c r="L86" i="14" s="1"/>
  <c r="K69" i="14"/>
  <c r="K74" i="14" s="1"/>
  <c r="J69" i="14"/>
  <c r="J74" i="14" s="1"/>
  <c r="I69" i="14"/>
  <c r="I74" i="14" s="1"/>
  <c r="I76" i="14" s="1"/>
  <c r="I86" i="14" s="1"/>
  <c r="H69" i="14"/>
  <c r="H74" i="14" s="1"/>
  <c r="H76" i="14" s="1"/>
  <c r="H86" i="14" s="1"/>
  <c r="G69" i="14"/>
  <c r="G74" i="14" s="1"/>
  <c r="F69" i="14"/>
  <c r="F74" i="14" s="1"/>
  <c r="E69" i="14"/>
  <c r="E74" i="14" s="1"/>
  <c r="E76" i="14" s="1"/>
  <c r="E86" i="14" s="1"/>
  <c r="D69" i="14"/>
  <c r="D74" i="14" s="1"/>
  <c r="D76" i="14" s="1"/>
  <c r="D86" i="14" s="1"/>
  <c r="M55" i="14"/>
  <c r="M60" i="14" s="1"/>
  <c r="M62" i="14" s="1"/>
  <c r="M85" i="14" s="1"/>
  <c r="L55" i="14"/>
  <c r="L60" i="14" s="1"/>
  <c r="L62" i="14" s="1"/>
  <c r="L85" i="14" s="1"/>
  <c r="K55" i="14"/>
  <c r="K60" i="14" s="1"/>
  <c r="K62" i="14" s="1"/>
  <c r="K85" i="14" s="1"/>
  <c r="J55" i="14"/>
  <c r="J60" i="14" s="1"/>
  <c r="J62" i="14" s="1"/>
  <c r="J85" i="14" s="1"/>
  <c r="I55" i="14"/>
  <c r="I60" i="14" s="1"/>
  <c r="I62" i="14" s="1"/>
  <c r="I85" i="14" s="1"/>
  <c r="H55" i="14"/>
  <c r="H60" i="14" s="1"/>
  <c r="H62" i="14" s="1"/>
  <c r="H85" i="14" s="1"/>
  <c r="G55" i="14"/>
  <c r="G60" i="14" s="1"/>
  <c r="G62" i="14" s="1"/>
  <c r="G85" i="14" s="1"/>
  <c r="F55" i="14"/>
  <c r="F60" i="14" s="1"/>
  <c r="F62" i="14" s="1"/>
  <c r="F85" i="14" s="1"/>
  <c r="E55" i="14"/>
  <c r="E60" i="14" s="1"/>
  <c r="E62" i="14" s="1"/>
  <c r="E85" i="14" s="1"/>
  <c r="D55" i="14"/>
  <c r="D60" i="14" s="1"/>
  <c r="D62" i="14" s="1"/>
  <c r="D85" i="14" s="1"/>
  <c r="M41" i="14"/>
  <c r="M46" i="14" s="1"/>
  <c r="M48" i="14" s="1"/>
  <c r="M84" i="14" s="1"/>
  <c r="L41" i="14"/>
  <c r="L46" i="14" s="1"/>
  <c r="L48" i="14" s="1"/>
  <c r="L84" i="14" s="1"/>
  <c r="K41" i="14"/>
  <c r="K46" i="14" s="1"/>
  <c r="K48" i="14" s="1"/>
  <c r="K84" i="14" s="1"/>
  <c r="J41" i="14"/>
  <c r="J46" i="14" s="1"/>
  <c r="J48" i="14" s="1"/>
  <c r="J84" i="14" s="1"/>
  <c r="I41" i="14"/>
  <c r="I46" i="14" s="1"/>
  <c r="I48" i="14" s="1"/>
  <c r="I84" i="14" s="1"/>
  <c r="H41" i="14"/>
  <c r="H46" i="14" s="1"/>
  <c r="H48" i="14" s="1"/>
  <c r="H84" i="14" s="1"/>
  <c r="G41" i="14"/>
  <c r="G46" i="14" s="1"/>
  <c r="G48" i="14" s="1"/>
  <c r="G84" i="14" s="1"/>
  <c r="F41" i="14"/>
  <c r="F46" i="14" s="1"/>
  <c r="F48" i="14" s="1"/>
  <c r="F84" i="14" s="1"/>
  <c r="E41" i="14"/>
  <c r="E46" i="14" s="1"/>
  <c r="E48" i="14" s="1"/>
  <c r="E84" i="14" s="1"/>
  <c r="D41" i="14"/>
  <c r="D46" i="14" s="1"/>
  <c r="D48" i="14" s="1"/>
  <c r="D84" i="14" s="1"/>
  <c r="D26" i="14"/>
  <c r="D31" i="14" s="1"/>
  <c r="F33" i="1"/>
  <c r="E33" i="1"/>
  <c r="F19" i="1"/>
  <c r="E19" i="1"/>
  <c r="F30" i="1"/>
  <c r="E30" i="1"/>
  <c r="F29" i="1"/>
  <c r="E29" i="1"/>
  <c r="T84" i="1" l="1"/>
  <c r="U84" i="1" s="1"/>
  <c r="T85" i="1"/>
  <c r="U85" i="1" s="1"/>
  <c r="G28" i="18"/>
  <c r="G43" i="1"/>
  <c r="I43" i="1" s="1"/>
  <c r="J43" i="1" s="1"/>
  <c r="K43" i="1" s="1"/>
  <c r="G40" i="1"/>
  <c r="I40" i="1" s="1"/>
  <c r="J40" i="1" s="1"/>
  <c r="K40" i="1" s="1"/>
  <c r="K81" i="1"/>
  <c r="O80" i="1"/>
  <c r="P80" i="1" s="1"/>
  <c r="O78" i="1"/>
  <c r="P78" i="1" s="1"/>
  <c r="K78" i="1"/>
  <c r="K80" i="1"/>
  <c r="K79" i="1"/>
  <c r="N79" i="1"/>
  <c r="K77" i="1"/>
  <c r="N77" i="1"/>
  <c r="N76" i="1"/>
  <c r="K76" i="1"/>
  <c r="G30" i="1"/>
  <c r="M30" i="1" s="1"/>
  <c r="G37" i="1"/>
  <c r="I37" i="1" s="1"/>
  <c r="J37" i="1" s="1"/>
  <c r="K37" i="1" s="1"/>
  <c r="F34" i="23"/>
  <c r="F35" i="23" s="1"/>
  <c r="F28" i="18"/>
  <c r="F31" i="18"/>
  <c r="E28" i="18"/>
  <c r="E31" i="18"/>
  <c r="G31" i="18"/>
  <c r="G34" i="18" s="1"/>
  <c r="H41" i="18" s="1"/>
  <c r="D31" i="18"/>
  <c r="D28" i="18"/>
  <c r="G29" i="1"/>
  <c r="F7" i="24"/>
  <c r="F6" i="24"/>
  <c r="I8" i="24" s="1"/>
  <c r="I9" i="24" s="1"/>
  <c r="F8" i="24"/>
  <c r="C28" i="24"/>
  <c r="E27" i="24"/>
  <c r="E28" i="24" s="1"/>
  <c r="E24" i="24" s="1"/>
  <c r="E25" i="24" s="1"/>
  <c r="D28" i="24"/>
  <c r="D31" i="24" s="1"/>
  <c r="G7" i="23"/>
  <c r="G6" i="23"/>
  <c r="J8" i="23" s="1"/>
  <c r="J9" i="23" s="1"/>
  <c r="G8" i="23"/>
  <c r="C28" i="23"/>
  <c r="C24" i="23" s="1"/>
  <c r="C25" i="23" s="1"/>
  <c r="C31" i="23"/>
  <c r="D28" i="23"/>
  <c r="E27" i="23"/>
  <c r="E28" i="23" s="1"/>
  <c r="C23" i="23"/>
  <c r="C33" i="23" s="1"/>
  <c r="E27" i="22"/>
  <c r="E28" i="22" s="1"/>
  <c r="D27" i="22"/>
  <c r="D28" i="22" s="1"/>
  <c r="F8" i="22"/>
  <c r="F7" i="22"/>
  <c r="F6" i="22"/>
  <c r="I8" i="22" s="1"/>
  <c r="I9" i="22" s="1"/>
  <c r="C28" i="22"/>
  <c r="C28" i="21"/>
  <c r="D8" i="21"/>
  <c r="D6" i="21"/>
  <c r="D7" i="21"/>
  <c r="M36" i="1"/>
  <c r="G19" i="1"/>
  <c r="F76" i="14"/>
  <c r="F86" i="14" s="1"/>
  <c r="J76" i="14"/>
  <c r="J86" i="14" s="1"/>
  <c r="G76" i="14"/>
  <c r="G86" i="14" s="1"/>
  <c r="K76" i="14"/>
  <c r="K86" i="14" s="1"/>
  <c r="D33" i="14"/>
  <c r="G33" i="1"/>
  <c r="E31" i="13"/>
  <c r="H51" i="18" l="1"/>
  <c r="H52" i="18" s="1"/>
  <c r="H44" i="18"/>
  <c r="H47" i="18"/>
  <c r="F34" i="18"/>
  <c r="I41" i="18"/>
  <c r="L41" i="18"/>
  <c r="O41" i="18"/>
  <c r="J41" i="18"/>
  <c r="F41" i="18"/>
  <c r="M41" i="18"/>
  <c r="K41" i="18"/>
  <c r="K47" i="18" s="1"/>
  <c r="G41" i="18"/>
  <c r="G47" i="18" s="1"/>
  <c r="N41" i="18"/>
  <c r="N47" i="18" s="1"/>
  <c r="P41" i="18"/>
  <c r="P47" i="18" s="1"/>
  <c r="E34" i="18"/>
  <c r="U48" i="18" s="1"/>
  <c r="O79" i="1"/>
  <c r="P79" i="1" s="1"/>
  <c r="O77" i="1"/>
  <c r="P77" i="1" s="1"/>
  <c r="O76" i="1"/>
  <c r="P76" i="1" s="1"/>
  <c r="I30" i="1"/>
  <c r="J30" i="1" s="1"/>
  <c r="K30" i="1" s="1"/>
  <c r="I33" i="1"/>
  <c r="J33" i="1" s="1"/>
  <c r="K33" i="1" s="1"/>
  <c r="M33" i="1"/>
  <c r="I19" i="1"/>
  <c r="J19" i="1" s="1"/>
  <c r="K19" i="1" s="1"/>
  <c r="M19" i="1"/>
  <c r="D34" i="18"/>
  <c r="I29" i="1"/>
  <c r="J29" i="1" s="1"/>
  <c r="K29" i="1" s="1"/>
  <c r="M29" i="1"/>
  <c r="E23" i="24"/>
  <c r="E33" i="24" s="1"/>
  <c r="E31" i="24"/>
  <c r="D23" i="24"/>
  <c r="D33" i="24" s="1"/>
  <c r="D24" i="24"/>
  <c r="D25" i="24" s="1"/>
  <c r="C23" i="24"/>
  <c r="C33" i="24" s="1"/>
  <c r="C24" i="24"/>
  <c r="C25" i="24" s="1"/>
  <c r="C31" i="24"/>
  <c r="E24" i="23"/>
  <c r="E25" i="23" s="1"/>
  <c r="E31" i="23"/>
  <c r="E23" i="23"/>
  <c r="E33" i="23" s="1"/>
  <c r="C34" i="23"/>
  <c r="C35" i="23" s="1"/>
  <c r="D23" i="23"/>
  <c r="D33" i="23" s="1"/>
  <c r="D24" i="23"/>
  <c r="D25" i="23" s="1"/>
  <c r="D31" i="23"/>
  <c r="E24" i="22"/>
  <c r="E25" i="22" s="1"/>
  <c r="E31" i="22"/>
  <c r="E23" i="22"/>
  <c r="E33" i="22" s="1"/>
  <c r="D24" i="22"/>
  <c r="D25" i="22" s="1"/>
  <c r="D31" i="22"/>
  <c r="D23" i="22"/>
  <c r="D33" i="22" s="1"/>
  <c r="C24" i="22"/>
  <c r="C25" i="22" s="1"/>
  <c r="C31" i="22"/>
  <c r="C23" i="22"/>
  <c r="C33" i="22" s="1"/>
  <c r="C23" i="21"/>
  <c r="C33" i="21" s="1"/>
  <c r="C24" i="21"/>
  <c r="C25" i="21" s="1"/>
  <c r="C31" i="21"/>
  <c r="C21" i="10"/>
  <c r="C22" i="10"/>
  <c r="C19" i="10"/>
  <c r="H57" i="18" l="1"/>
  <c r="H61" i="18" s="1"/>
  <c r="H60" i="18"/>
  <c r="H54" i="18"/>
  <c r="H55" i="18" s="1"/>
  <c r="H45" i="18"/>
  <c r="O51" i="18"/>
  <c r="O52" i="18" s="1"/>
  <c r="O44" i="18"/>
  <c r="O60" i="18" s="1"/>
  <c r="O47" i="18"/>
  <c r="M51" i="18"/>
  <c r="M52" i="18" s="1"/>
  <c r="M47" i="18"/>
  <c r="M44" i="18"/>
  <c r="M60" i="18" s="1"/>
  <c r="L51" i="18"/>
  <c r="L52" i="18" s="1"/>
  <c r="L47" i="18"/>
  <c r="L44" i="18"/>
  <c r="L60" i="18" s="1"/>
  <c r="I51" i="18"/>
  <c r="I52" i="18" s="1"/>
  <c r="I44" i="18"/>
  <c r="I60" i="18" s="1"/>
  <c r="I47" i="18"/>
  <c r="F44" i="18"/>
  <c r="F60" i="18" s="1"/>
  <c r="F51" i="18"/>
  <c r="F52" i="18" s="1"/>
  <c r="F47" i="18"/>
  <c r="J51" i="18"/>
  <c r="J52" i="18" s="1"/>
  <c r="J47" i="18"/>
  <c r="J44" i="18"/>
  <c r="J60" i="18" s="1"/>
  <c r="U54" i="18"/>
  <c r="U51" i="18"/>
  <c r="U55" i="18" s="1"/>
  <c r="P51" i="18"/>
  <c r="P52" i="18" s="1"/>
  <c r="P44" i="18"/>
  <c r="P60" i="18" s="1"/>
  <c r="N51" i="18"/>
  <c r="N52" i="18" s="1"/>
  <c r="N44" i="18"/>
  <c r="N60" i="18" s="1"/>
  <c r="G51" i="18"/>
  <c r="G52" i="18" s="1"/>
  <c r="G44" i="18"/>
  <c r="G60" i="18" s="1"/>
  <c r="K51" i="18"/>
  <c r="K52" i="18" s="1"/>
  <c r="K44" i="18"/>
  <c r="K60" i="18" s="1"/>
  <c r="D34" i="24"/>
  <c r="D35" i="24" s="1"/>
  <c r="C34" i="24"/>
  <c r="C35" i="24" s="1"/>
  <c r="E34" i="24"/>
  <c r="E35" i="24" s="1"/>
  <c r="E34" i="23"/>
  <c r="E35" i="23" s="1"/>
  <c r="D34" i="23"/>
  <c r="D35" i="23" s="1"/>
  <c r="E34" i="22"/>
  <c r="E35" i="22" s="1"/>
  <c r="D34" i="22"/>
  <c r="D35" i="22" s="1"/>
  <c r="C34" i="22"/>
  <c r="C35" i="22" s="1"/>
  <c r="C34" i="21"/>
  <c r="C35" i="21" s="1"/>
  <c r="C17" i="10"/>
  <c r="C14" i="10"/>
  <c r="C13" i="10"/>
  <c r="I54" i="18" l="1"/>
  <c r="I55" i="18" s="1"/>
  <c r="I45" i="18"/>
  <c r="J45" i="18"/>
  <c r="J54" i="18"/>
  <c r="J55" i="18" s="1"/>
  <c r="M54" i="18"/>
  <c r="M55" i="18" s="1"/>
  <c r="M45" i="18"/>
  <c r="O45" i="18"/>
  <c r="O54" i="18"/>
  <c r="O55" i="18" s="1"/>
  <c r="U56" i="18"/>
  <c r="U52" i="18"/>
  <c r="F45" i="18"/>
  <c r="F54" i="18"/>
  <c r="F55" i="18" s="1"/>
  <c r="L45" i="18"/>
  <c r="L54" i="18"/>
  <c r="L55" i="18" s="1"/>
  <c r="K54" i="18"/>
  <c r="K55" i="18" s="1"/>
  <c r="K45" i="18"/>
  <c r="P54" i="18"/>
  <c r="P55" i="18" s="1"/>
  <c r="P45" i="18"/>
  <c r="G45" i="18"/>
  <c r="G54" i="18"/>
  <c r="G55" i="18" s="1"/>
  <c r="N54" i="18"/>
  <c r="N55" i="18" s="1"/>
  <c r="N45" i="18"/>
  <c r="C15" i="10"/>
  <c r="E8" i="1"/>
  <c r="F8" i="1"/>
  <c r="E17" i="1"/>
  <c r="F17" i="1"/>
  <c r="N15" i="1"/>
  <c r="E28" i="1"/>
  <c r="F28" i="1"/>
  <c r="O31" i="1"/>
  <c r="E25" i="1"/>
  <c r="F25" i="1"/>
  <c r="E22" i="1"/>
  <c r="F22" i="1"/>
  <c r="E13" i="1"/>
  <c r="F13" i="1"/>
  <c r="E10" i="1"/>
  <c r="F10" i="1"/>
  <c r="E15" i="1"/>
  <c r="F15" i="1"/>
  <c r="F9" i="1"/>
  <c r="E9" i="1"/>
  <c r="E18" i="1"/>
  <c r="F18" i="1"/>
  <c r="E14" i="1"/>
  <c r="F14" i="1"/>
  <c r="E11" i="1"/>
  <c r="F11" i="1"/>
  <c r="L35" i="3"/>
  <c r="L34" i="3"/>
  <c r="L29" i="3"/>
  <c r="L30" i="3"/>
  <c r="L31" i="3"/>
  <c r="L32" i="3"/>
  <c r="L33" i="3"/>
  <c r="L28" i="3"/>
  <c r="I16" i="3"/>
  <c r="I17" i="3"/>
  <c r="I22" i="3" s="1"/>
  <c r="I18" i="3"/>
  <c r="I19" i="3"/>
  <c r="I20" i="3"/>
  <c r="I21" i="3"/>
  <c r="I15" i="3"/>
  <c r="H22" i="3"/>
  <c r="B6" i="5"/>
  <c r="F11" i="5"/>
  <c r="G11" i="5"/>
  <c r="E11" i="5"/>
  <c r="G7" i="5"/>
  <c r="G8" i="5" s="1"/>
  <c r="G9" i="5" s="1"/>
  <c r="F7" i="5"/>
  <c r="F8" i="5"/>
  <c r="F9" i="5" s="1"/>
  <c r="F12" i="5" s="1"/>
  <c r="F13" i="5" s="1"/>
  <c r="B7" i="5"/>
  <c r="B8" i="5" s="1"/>
  <c r="B9" i="5" s="1"/>
  <c r="B12" i="5" s="1"/>
  <c r="B13" i="5" s="1"/>
  <c r="E7" i="5"/>
  <c r="E8" i="5"/>
  <c r="E9" i="5" s="1"/>
  <c r="E12" i="5" s="1"/>
  <c r="E13" i="5" s="1"/>
  <c r="C37" i="5"/>
  <c r="C32" i="5"/>
  <c r="C33" i="5" s="1"/>
  <c r="M11" i="8"/>
  <c r="K6" i="8"/>
  <c r="K7" i="8"/>
  <c r="K8" i="8"/>
  <c r="K9" i="8"/>
  <c r="K10" i="8"/>
  <c r="K12" i="8"/>
  <c r="J11" i="8"/>
  <c r="K11" i="8" s="1"/>
  <c r="G7" i="8"/>
  <c r="G8" i="8"/>
  <c r="G9" i="8"/>
  <c r="G10" i="8"/>
  <c r="G11" i="8"/>
  <c r="G12" i="8"/>
  <c r="G6" i="8"/>
  <c r="G13" i="8" s="1"/>
  <c r="F11" i="8"/>
  <c r="E26" i="5"/>
  <c r="D19" i="5"/>
  <c r="B19" i="5" s="1"/>
  <c r="E21" i="3"/>
  <c r="E15" i="3"/>
  <c r="E22" i="3" s="1"/>
  <c r="E16" i="3"/>
  <c r="E17" i="3"/>
  <c r="F17" i="3" s="1"/>
  <c r="E18" i="3"/>
  <c r="E19" i="3"/>
  <c r="F19" i="3" s="1"/>
  <c r="F21" i="3"/>
  <c r="F16" i="3"/>
  <c r="F18" i="3"/>
  <c r="F20" i="3"/>
  <c r="G14" i="2"/>
  <c r="J10" i="2"/>
  <c r="J14" i="2" s="1"/>
  <c r="J11" i="2"/>
  <c r="J13" i="2" s="1"/>
  <c r="D13" i="2"/>
  <c r="L10" i="2"/>
  <c r="L13" i="2" s="1"/>
  <c r="L11" i="2"/>
  <c r="M10" i="2"/>
  <c r="M11" i="2"/>
  <c r="N10" i="2"/>
  <c r="N14" i="2" s="1"/>
  <c r="N11" i="2"/>
  <c r="D10" i="2"/>
  <c r="D11" i="2"/>
  <c r="D14" i="2" s="1"/>
  <c r="E10" i="2"/>
  <c r="E14" i="2" s="1"/>
  <c r="E11" i="2"/>
  <c r="F10" i="2"/>
  <c r="F11" i="2"/>
  <c r="G10" i="2"/>
  <c r="G11" i="2"/>
  <c r="G13" i="2"/>
  <c r="H10" i="2"/>
  <c r="H11" i="2"/>
  <c r="I10" i="2"/>
  <c r="I14" i="2" s="1"/>
  <c r="I11" i="2"/>
  <c r="O15" i="1"/>
  <c r="O20" i="1" s="1"/>
  <c r="D16" i="6"/>
  <c r="E8" i="3"/>
  <c r="B8" i="3"/>
  <c r="E24" i="1"/>
  <c r="F24" i="1"/>
  <c r="F21" i="1"/>
  <c r="E21" i="1"/>
  <c r="J57" i="18" l="1"/>
  <c r="J61" i="18" s="1"/>
  <c r="U58" i="18"/>
  <c r="O57" i="18"/>
  <c r="O61" i="18" s="1"/>
  <c r="I57" i="18"/>
  <c r="I61" i="18" s="1"/>
  <c r="F57" i="18"/>
  <c r="F61" i="18" s="1"/>
  <c r="M57" i="18"/>
  <c r="M61" i="18" s="1"/>
  <c r="L57" i="18"/>
  <c r="L61" i="18" s="1"/>
  <c r="P57" i="18"/>
  <c r="P61" i="18" s="1"/>
  <c r="K57" i="18"/>
  <c r="K61" i="18" s="1"/>
  <c r="G57" i="18"/>
  <c r="G61" i="18" s="1"/>
  <c r="N57" i="18"/>
  <c r="N61" i="18" s="1"/>
  <c r="F14" i="2"/>
  <c r="G18" i="1"/>
  <c r="I18" i="1" s="1"/>
  <c r="J18" i="1" s="1"/>
  <c r="G24" i="1"/>
  <c r="G9" i="1"/>
  <c r="M9" i="1" s="1"/>
  <c r="G17" i="1"/>
  <c r="M17" i="1" s="1"/>
  <c r="M13" i="2"/>
  <c r="L14" i="2"/>
  <c r="H14" i="2"/>
  <c r="H13" i="2"/>
  <c r="G22" i="1"/>
  <c r="G14" i="1"/>
  <c r="G8" i="1"/>
  <c r="G10" i="1"/>
  <c r="G11" i="1"/>
  <c r="G15" i="1"/>
  <c r="G13" i="1"/>
  <c r="G21" i="1"/>
  <c r="G25" i="1"/>
  <c r="G28" i="1"/>
  <c r="C16" i="10"/>
  <c r="C23" i="10"/>
  <c r="G12" i="5"/>
  <c r="G13" i="5" s="1"/>
  <c r="B26" i="5"/>
  <c r="B23" i="5"/>
  <c r="K13" i="8"/>
  <c r="M14" i="2"/>
  <c r="I13" i="2"/>
  <c r="E13" i="2"/>
  <c r="F13" i="2"/>
  <c r="N13" i="2"/>
  <c r="F15" i="3"/>
  <c r="F22" i="3" s="1"/>
  <c r="O8" i="1" l="1"/>
  <c r="P8" i="1" s="1"/>
  <c r="K18" i="1"/>
  <c r="M18" i="1"/>
  <c r="I17" i="1"/>
  <c r="J17" i="1" s="1"/>
  <c r="K17" i="1" s="1"/>
  <c r="I11" i="1"/>
  <c r="J11" i="1" s="1"/>
  <c r="K11" i="1" s="1"/>
  <c r="M11" i="1"/>
  <c r="I21" i="1"/>
  <c r="J21" i="1" s="1"/>
  <c r="K21" i="1" s="1"/>
  <c r="M21" i="1"/>
  <c r="I24" i="1"/>
  <c r="J24" i="1" s="1"/>
  <c r="K24" i="1" s="1"/>
  <c r="M24" i="1"/>
  <c r="I22" i="1"/>
  <c r="J22" i="1" s="1"/>
  <c r="K22" i="1" s="1"/>
  <c r="M22" i="1"/>
  <c r="I9" i="1"/>
  <c r="J9" i="1" s="1"/>
  <c r="K9" i="1" s="1"/>
  <c r="I25" i="1"/>
  <c r="J25" i="1" s="1"/>
  <c r="K25" i="1" s="1"/>
  <c r="M25" i="1"/>
  <c r="I10" i="1"/>
  <c r="J10" i="1" s="1"/>
  <c r="K10" i="1" s="1"/>
  <c r="M10" i="1"/>
  <c r="I13" i="1"/>
  <c r="J13" i="1" s="1"/>
  <c r="K13" i="1" s="1"/>
  <c r="M13" i="1"/>
  <c r="I28" i="1"/>
  <c r="J28" i="1" s="1"/>
  <c r="K28" i="1" s="1"/>
  <c r="M28" i="1"/>
  <c r="I15" i="1"/>
  <c r="J15" i="1" s="1"/>
  <c r="K15" i="1" s="1"/>
  <c r="M15" i="1"/>
  <c r="I14" i="1"/>
  <c r="J14" i="1" s="1"/>
  <c r="K14" i="1" s="1"/>
  <c r="M14" i="1"/>
  <c r="I8" i="1"/>
  <c r="J8" i="1" s="1"/>
  <c r="K8" i="1" s="1"/>
  <c r="M8" i="1"/>
</calcChain>
</file>

<file path=xl/sharedStrings.xml><?xml version="1.0" encoding="utf-8"?>
<sst xmlns="http://schemas.openxmlformats.org/spreadsheetml/2006/main" count="1889" uniqueCount="1142">
  <si>
    <t>liters</t>
  </si>
  <si>
    <t>id</t>
  </si>
  <si>
    <t>length</t>
  </si>
  <si>
    <t>http://www.adsorbentcn.com/13x.htm</t>
  </si>
  <si>
    <t>kg/m^3</t>
  </si>
  <si>
    <t>kg</t>
  </si>
  <si>
    <t>kgtotal</t>
  </si>
  <si>
    <t>lbs</t>
  </si>
  <si>
    <t>https://www.ncbi.nlm.nih.gov/pmc/articles/PMC5575677/</t>
  </si>
  <si>
    <t>Valve Cv</t>
  </si>
  <si>
    <t>G</t>
  </si>
  <si>
    <t>T</t>
  </si>
  <si>
    <t>Pu</t>
  </si>
  <si>
    <t>Pd</t>
  </si>
  <si>
    <t>Cv</t>
  </si>
  <si>
    <t>SCFH</t>
  </si>
  <si>
    <t>Qc</t>
  </si>
  <si>
    <t>l/min</t>
  </si>
  <si>
    <t>PSIG</t>
  </si>
  <si>
    <t>Q</t>
  </si>
  <si>
    <t>Qs</t>
  </si>
  <si>
    <t>DegF</t>
  </si>
  <si>
    <t>SpGr</t>
  </si>
  <si>
    <t>http://www.fnwvalve.com/FNWValve/assets/images/PDFs/FNW/tech_AboutCv.pdf</t>
  </si>
  <si>
    <t>O2 Delivery</t>
  </si>
  <si>
    <t>Air Recycle control valve</t>
  </si>
  <si>
    <t>Air Supply Regulator</t>
  </si>
  <si>
    <t>Check Valve</t>
  </si>
  <si>
    <t>Fill valve</t>
  </si>
  <si>
    <t>Purge valve</t>
  </si>
  <si>
    <t>Backpressure valve</t>
  </si>
  <si>
    <t>O2 Valve</t>
  </si>
  <si>
    <t>ohms</t>
  </si>
  <si>
    <t>amps</t>
  </si>
  <si>
    <t>volts</t>
  </si>
  <si>
    <t>RackBase</t>
  </si>
  <si>
    <t>Pump</t>
  </si>
  <si>
    <t>Air inlet filter</t>
  </si>
  <si>
    <t>Filter mounting adapter</t>
  </si>
  <si>
    <t>Pump inlet hose fitting</t>
  </si>
  <si>
    <t>Pump outlet tee</t>
  </si>
  <si>
    <t>pressure relief valve</t>
  </si>
  <si>
    <t xml:space="preserve">pump outlet hose fitting </t>
  </si>
  <si>
    <t>Condenser core</t>
  </si>
  <si>
    <t>Condenser fan plate</t>
  </si>
  <si>
    <t>Condenser mounting brackets</t>
  </si>
  <si>
    <t>Condenser frame assy</t>
  </si>
  <si>
    <t>Condenser fan</t>
  </si>
  <si>
    <t>Condenser inlet hose assy</t>
  </si>
  <si>
    <t>Condenser outlet hose assy</t>
  </si>
  <si>
    <t>Separator inlet tee</t>
  </si>
  <si>
    <t>Separator inlet hose fitting</t>
  </si>
  <si>
    <t>Separator inlet temperature probe</t>
  </si>
  <si>
    <t>Separator outlet nipple</t>
  </si>
  <si>
    <t>Pressure tap tee</t>
  </si>
  <si>
    <t>Micron filter inlet nipple</t>
  </si>
  <si>
    <t>Micron filter outlet fitting</t>
  </si>
  <si>
    <t>Separator inlet mount bracket</t>
  </si>
  <si>
    <t>Micron filter mount bracket</t>
  </si>
  <si>
    <t>Control valve adapter</t>
  </si>
  <si>
    <t>Control valve inlet nipple</t>
  </si>
  <si>
    <t xml:space="preserve">Control Valve  </t>
  </si>
  <si>
    <t>Bacpressure regulator inlet nipple</t>
  </si>
  <si>
    <t>Bacpkpressure regulator</t>
  </si>
  <si>
    <t>Backpressure regulator outlet hose adapter</t>
  </si>
  <si>
    <t>Pump inlet hose clamps</t>
  </si>
  <si>
    <t>Condenser</t>
  </si>
  <si>
    <t>Sep+Filter</t>
  </si>
  <si>
    <t>Backpressure</t>
  </si>
  <si>
    <t>Frame</t>
  </si>
  <si>
    <t>Backpressure outlet hose</t>
  </si>
  <si>
    <t>Backpressure outlet hose clamps</t>
  </si>
  <si>
    <t>Pump inlet hose tee</t>
  </si>
  <si>
    <t>Pump inlet hose sections</t>
  </si>
  <si>
    <t>Flow Manifold</t>
  </si>
  <si>
    <t>Manifold block</t>
  </si>
  <si>
    <t>Inlet fitting</t>
  </si>
  <si>
    <t>Inlet pipe</t>
  </si>
  <si>
    <t>Mass Flow sensor</t>
  </si>
  <si>
    <t>Base thread inserts</t>
  </si>
  <si>
    <t>Base bolts + lock washers + washers</t>
  </si>
  <si>
    <t>Condenser grille screen</t>
  </si>
  <si>
    <t>instrument air fitting</t>
  </si>
  <si>
    <t>Pressure sensor</t>
  </si>
  <si>
    <t>Mounting screws for manifold</t>
  </si>
  <si>
    <t>Mounting screws for MFS</t>
  </si>
  <si>
    <t>Bracket mounting screws</t>
  </si>
  <si>
    <t>Condenser bracket screws</t>
  </si>
  <si>
    <t>Pump mounting tabs</t>
  </si>
  <si>
    <t>Pump mounting bolts and nuts</t>
  </si>
  <si>
    <t>Caster mounting screws</t>
  </si>
  <si>
    <t>Panel mounting screws</t>
  </si>
  <si>
    <t>Outlet pipe</t>
  </si>
  <si>
    <t>Crossover fittings</t>
  </si>
  <si>
    <t>Column inlet</t>
  </si>
  <si>
    <t>Crossover pipe</t>
  </si>
  <si>
    <t>Check valve inlet fitting</t>
  </si>
  <si>
    <t>Check valve outlet fitting</t>
  </si>
  <si>
    <t>Check valve outlet pipe</t>
  </si>
  <si>
    <t>Cross column manifold pipe</t>
  </si>
  <si>
    <t>Column 2 inlet Tee</t>
  </si>
  <si>
    <t>Column 1 inlet Elbow</t>
  </si>
  <si>
    <t>Supply and Exhaust</t>
  </si>
  <si>
    <t>Solenoid valves</t>
  </si>
  <si>
    <t>Exhause muffler/bleeders</t>
  </si>
  <si>
    <t>short solenoid bracket</t>
  </si>
  <si>
    <t>long solenoid brackets</t>
  </si>
  <si>
    <t>Solenoid bracket mounting screws</t>
  </si>
  <si>
    <t>Solenoid mounting screws</t>
  </si>
  <si>
    <t>Columns</t>
  </si>
  <si>
    <t>Filter housings</t>
  </si>
  <si>
    <t>Supply and Exhaust elbows</t>
  </si>
  <si>
    <t>Column top hangers</t>
  </si>
  <si>
    <t>Column hanger mounting screws</t>
  </si>
  <si>
    <t>Column mounting screws</t>
  </si>
  <si>
    <t>Column bottom brackets</t>
  </si>
  <si>
    <t>Internal outlet diffusers</t>
  </si>
  <si>
    <t>Internal inlet diffusers</t>
  </si>
  <si>
    <t>Internal media separators</t>
  </si>
  <si>
    <t>Column outlet fittings</t>
  </si>
  <si>
    <t>Column outlet pipes</t>
  </si>
  <si>
    <t>Outlet distributor tees</t>
  </si>
  <si>
    <t>Purge check valves</t>
  </si>
  <si>
    <t>Outlet pipe tee adapter</t>
  </si>
  <si>
    <t>Outlet solenoid valves</t>
  </si>
  <si>
    <t>Outlet solenoid 1 elbow</t>
  </si>
  <si>
    <t>Outlet solenoud 2 tee</t>
  </si>
  <si>
    <t>Outlet cross pipe</t>
  </si>
  <si>
    <t>Tube Union Couplers</t>
  </si>
  <si>
    <t>Tube union fittings</t>
  </si>
  <si>
    <t>Column 2 Tee</t>
  </si>
  <si>
    <t>Purge cross pipe</t>
  </si>
  <si>
    <t>Purge flowmeter</t>
  </si>
  <si>
    <t>Purge flowmeter outlet fitting Elbow</t>
  </si>
  <si>
    <t>Column 1 Elbow</t>
  </si>
  <si>
    <t>Purge feed pipe 90</t>
  </si>
  <si>
    <t>O2 tank feed pipe</t>
  </si>
  <si>
    <t>Purge Flowmeter inlet street tee</t>
  </si>
  <si>
    <t>Outlet flare union fitting to purge inlet Tee</t>
  </si>
  <si>
    <t>Tube 90 fitting for feed pipe from purge tee</t>
  </si>
  <si>
    <t>O2 tank inlet tee</t>
  </si>
  <si>
    <t>O2 tank inlet fitting</t>
  </si>
  <si>
    <t>O2 tank sample tap fitting</t>
  </si>
  <si>
    <t>O2 tank sample tap needle valve</t>
  </si>
  <si>
    <t>O2 sample tap hose barb</t>
  </si>
  <si>
    <t>O2 tank</t>
  </si>
  <si>
    <t>Purge gas</t>
  </si>
  <si>
    <t>O2 tank trheaded reducers</t>
  </si>
  <si>
    <t>O2 tank outlet fitting</t>
  </si>
  <si>
    <t>O2 tank pressure sensor</t>
  </si>
  <si>
    <t>O2 tank lower bracket</t>
  </si>
  <si>
    <t>O2 delivery circuit</t>
  </si>
  <si>
    <t>O2 tank outlet pipe</t>
  </si>
  <si>
    <t>O2 regulator inlet elbow</t>
  </si>
  <si>
    <t>O2 regulator outlet tee</t>
  </si>
  <si>
    <t>O2 regulator pressure sensor</t>
  </si>
  <si>
    <t>O2 regulator outler hose barb</t>
  </si>
  <si>
    <t>O2 regulator</t>
  </si>
  <si>
    <t>O2 regulator 10-32 adapters</t>
  </si>
  <si>
    <t>O2 flowmeter</t>
  </si>
  <si>
    <t>O2 flowmater inlet hose</t>
  </si>
  <si>
    <t>O2 check valve</t>
  </si>
  <si>
    <t>O2 flowmeter outlet hose sections</t>
  </si>
  <si>
    <t>O2 outlet filter</t>
  </si>
  <si>
    <t>O2 delivery adapter</t>
  </si>
  <si>
    <t>O2 delivery hose clamps</t>
  </si>
  <si>
    <t>O2 flowmeter mounting bracket</t>
  </si>
  <si>
    <t>I/P transducer</t>
  </si>
  <si>
    <t>I/P inlet fitting</t>
  </si>
  <si>
    <t>I/P inlet pipe</t>
  </si>
  <si>
    <t>I/P outlet fitting</t>
  </si>
  <si>
    <t>I/P outlet pipe</t>
  </si>
  <si>
    <t>Control valve air inlet fitting</t>
  </si>
  <si>
    <t>Outlet fitting</t>
  </si>
  <si>
    <t>Controls</t>
  </si>
  <si>
    <t>IEC fused filtered power inlet</t>
  </si>
  <si>
    <t>IEC power cable US</t>
  </si>
  <si>
    <t>18/3 SO cable for power and motor feed</t>
  </si>
  <si>
    <t xml:space="preserve">DIN rail </t>
  </si>
  <si>
    <t>DIN rail terminal block</t>
  </si>
  <si>
    <t>DIN rail raspberry Pi enclosure</t>
  </si>
  <si>
    <t>DIN rail power supply 5V</t>
  </si>
  <si>
    <t>DIN rail power supply 12V</t>
  </si>
  <si>
    <t>DIN rail RTU assembly</t>
  </si>
  <si>
    <t>DIN rail AC SSR for pump control</t>
  </si>
  <si>
    <t>DIN rail DC SSR for fan control</t>
  </si>
  <si>
    <t>DIN rail DC SSR for solenoid valve</t>
  </si>
  <si>
    <t>DIN rail PID controller multi-input</t>
  </si>
  <si>
    <t>DIN rail primary AC relay</t>
  </si>
  <si>
    <t>Finger raceway</t>
  </si>
  <si>
    <t>Mounting screws for raceway and rail</t>
  </si>
  <si>
    <t>Hookup wire</t>
  </si>
  <si>
    <t xml:space="preserve">Column O2 outlet </t>
  </si>
  <si>
    <t>Outlet flare union coupler</t>
  </si>
  <si>
    <t>Zeolite 13X media kg</t>
  </si>
  <si>
    <t>Activated Alumina media kg</t>
  </si>
  <si>
    <t>Control box</t>
  </si>
  <si>
    <t>USB power cable for Rpi</t>
  </si>
  <si>
    <t>USB cable for RTU</t>
  </si>
  <si>
    <t xml:space="preserve">RS-485 USB stick </t>
  </si>
  <si>
    <t>USB cable for control box</t>
  </si>
  <si>
    <t>Arduino board</t>
  </si>
  <si>
    <t>2x20 VFD</t>
  </si>
  <si>
    <t>3 position switch with N.O and N.C blocks</t>
  </si>
  <si>
    <t>Internal USB cable type B bulkhead to micro</t>
  </si>
  <si>
    <t>RTU internal</t>
  </si>
  <si>
    <t>Arduino pro mini or ESP32</t>
  </si>
  <si>
    <t>Instrumentation amplifier</t>
  </si>
  <si>
    <t>O2 analyzer</t>
  </si>
  <si>
    <t>O2 sensor electrochemical 0-100%</t>
  </si>
  <si>
    <t>0-1 lpm flowmeter</t>
  </si>
  <si>
    <t>custom modification to flowmeter</t>
  </si>
  <si>
    <t>O2 analyzer mounting bracket</t>
  </si>
  <si>
    <t>USB cable type B to micro internal</t>
  </si>
  <si>
    <t>RTU</t>
  </si>
  <si>
    <t>Arduino Pro Mini</t>
  </si>
  <si>
    <t>USB stick case</t>
  </si>
  <si>
    <t>5 pin connector</t>
  </si>
  <si>
    <t>USB cable</t>
  </si>
  <si>
    <t>Micro RTU</t>
  </si>
  <si>
    <t>cable clamps and wire handling</t>
  </si>
  <si>
    <t>wire markers</t>
  </si>
  <si>
    <t>extension connections for solenoids</t>
  </si>
  <si>
    <t>Misc</t>
  </si>
  <si>
    <t>Raspberry Pi 4</t>
  </si>
  <si>
    <t>User controls</t>
  </si>
  <si>
    <t>Solenoid mounting strips and screws</t>
  </si>
  <si>
    <t>mm^2</t>
  </si>
  <si>
    <t>cc/min</t>
  </si>
  <si>
    <t>mm per cc</t>
  </si>
  <si>
    <t>cm/sec</t>
  </si>
  <si>
    <t>status indicator light green/yellow/red</t>
  </si>
  <si>
    <t>Watts = SCFM x ∆T / 3</t>
  </si>
  <si>
    <t xml:space="preserve">SCFM = Standard Cubic Feet Per Minute </t>
  </si>
  <si>
    <t>∆T = Temperature Rise in Degrees F from the Inlet to the Outlet</t>
  </si>
  <si>
    <t>scfm</t>
  </si>
  <si>
    <t>lpm</t>
  </si>
  <si>
    <t>deltaT</t>
  </si>
  <si>
    <t>watts</t>
  </si>
  <si>
    <t>Date</t>
  </si>
  <si>
    <t>What</t>
  </si>
  <si>
    <t>Invent</t>
  </si>
  <si>
    <t>Design</t>
  </si>
  <si>
    <t>Build</t>
  </si>
  <si>
    <t>Sport Auto</t>
  </si>
  <si>
    <t>X</t>
  </si>
  <si>
    <t>RTU Software</t>
  </si>
  <si>
    <t>Compressed Gas meter</t>
  </si>
  <si>
    <t>Safety Control System</t>
  </si>
  <si>
    <t>Anti-Surge Controller</t>
  </si>
  <si>
    <t>Notes</t>
  </si>
  <si>
    <t>Celtic harp</t>
  </si>
  <si>
    <t>Vacuum tube amplifier</t>
  </si>
  <si>
    <t>Studio Microphone Preamplifier</t>
  </si>
  <si>
    <t>Climate instrument</t>
  </si>
  <si>
    <t>Electrolyre</t>
  </si>
  <si>
    <t>Mandol</t>
  </si>
  <si>
    <t>#</t>
  </si>
  <si>
    <t>Gas Separator</t>
  </si>
  <si>
    <t>2008-2012</t>
  </si>
  <si>
    <t>1987-2008</t>
  </si>
  <si>
    <t>Fault tolerant computer</t>
  </si>
  <si>
    <t>Guitar Amplifier</t>
  </si>
  <si>
    <t>Analog analysis software</t>
  </si>
  <si>
    <t>Physics and thermodynamics, confidence bounds estimation, mechanical design, product and BOM design, project cost and budget</t>
  </si>
  <si>
    <t>Computer system architecture, high level tradeoffs, full end to end project responsibility</t>
  </si>
  <si>
    <t>Fine woodworking, physics and acoustics, design with wood, wood finishing techniques</t>
  </si>
  <si>
    <t>Fretted instrument design, lutherie craft</t>
  </si>
  <si>
    <t>Strength of Materials, welding and brazing, mechanical drawing, use of machine tools</t>
  </si>
  <si>
    <t xml:space="preserve">Use of machine tools, layout and planning, service lifetime </t>
  </si>
  <si>
    <t>Deep understanding of vacuum tube physics, development of experimental process and inquiry, instrument construction in metal</t>
  </si>
  <si>
    <t>Design to performance goals, low noise design and testing, product BOM, PCB design, industrial design</t>
  </si>
  <si>
    <t>Maker/DIY process, Arduino software, rapid deployment, iterative design</t>
  </si>
  <si>
    <t>Physics and thermodynamics, experimental process, industrial controls integration, cottage workshop</t>
  </si>
  <si>
    <t>Electronic circuit analysis, mechanical construction, electronic construction, design for specific outcome</t>
  </si>
  <si>
    <t>1978-1983</t>
  </si>
  <si>
    <t>PLCs, System design, fault tolerant design, fault modeling, service life optimization, industrial control systems</t>
  </si>
  <si>
    <t>Communication software design, high reliability design</t>
  </si>
  <si>
    <t>Microprogram Controller</t>
  </si>
  <si>
    <t>Circuit analysis of 3-terminal analog networks, logical reduction, problem abstraction, software design, use of programming languages</t>
  </si>
  <si>
    <t>Computer logic design, PLA design, rigorous timing analysis, design for test, design for manufacture, failure analysis, project planning and schedule commitment</t>
  </si>
  <si>
    <t>Skills I learned</t>
  </si>
  <si>
    <t>Patent and trademark processes, optimization of many conflicting variables, problem solving in design</t>
  </si>
  <si>
    <t>Information Appliance</t>
  </si>
  <si>
    <t>Web connected appliance design, battery device design, browser based interaction, embedded Linux, low power constrained hardware</t>
  </si>
  <si>
    <t>Internet-connected Photovoltaic generation</t>
  </si>
  <si>
    <t xml:space="preserve">Embedded hardware and Linux, hardware I/O and SCADA integration, serial protocols, processing of measurement data, real-time web server </t>
  </si>
  <si>
    <t>1999-2000</t>
  </si>
  <si>
    <t>Internet Media Devices</t>
  </si>
  <si>
    <t>Search and indexing, embedded Linux with streaming media, appliance design and demo, network client + server device integration</t>
  </si>
  <si>
    <t>min/day</t>
  </si>
  <si>
    <t>l/m3</t>
  </si>
  <si>
    <t>sm3/day</t>
  </si>
  <si>
    <t>Blowdown</t>
  </si>
  <si>
    <t>SCFM</t>
  </si>
  <si>
    <t>Fan</t>
  </si>
  <si>
    <t>O2 Out/Press</t>
  </si>
  <si>
    <t>Amps</t>
  </si>
  <si>
    <t>Watts</t>
  </si>
  <si>
    <t>Ohms</t>
  </si>
  <si>
    <t xml:space="preserve">Quantity </t>
  </si>
  <si>
    <t>Volts</t>
  </si>
  <si>
    <t>I/P Transducer</t>
  </si>
  <si>
    <t>C</t>
  </si>
  <si>
    <t>MOV</t>
  </si>
  <si>
    <t>PSA Air In</t>
  </si>
  <si>
    <t>PSA Blowdown</t>
  </si>
  <si>
    <t>BD Diverter</t>
  </si>
  <si>
    <t>Drier Purge out</t>
  </si>
  <si>
    <t>in vac</t>
  </si>
  <si>
    <t>mm atm</t>
  </si>
  <si>
    <t>in atm</t>
  </si>
  <si>
    <t>mm vac (torr)</t>
  </si>
  <si>
    <t>mbar atm</t>
  </si>
  <si>
    <t>mbar vac</t>
  </si>
  <si>
    <t>mm</t>
  </si>
  <si>
    <t>cap top</t>
  </si>
  <si>
    <t>capbotton</t>
  </si>
  <si>
    <t xml:space="preserve">spool </t>
  </si>
  <si>
    <t>3x24</t>
  </si>
  <si>
    <t>1/2 NPT</t>
  </si>
  <si>
    <t>1/4 NPT</t>
  </si>
  <si>
    <t>filter plate</t>
  </si>
  <si>
    <t>3"</t>
  </si>
  <si>
    <t>clamp</t>
  </si>
  <si>
    <t>gasket</t>
  </si>
  <si>
    <t>mount</t>
  </si>
  <si>
    <t>spool clamp</t>
  </si>
  <si>
    <t>mmhg</t>
  </si>
  <si>
    <t>atm</t>
  </si>
  <si>
    <t>psia</t>
  </si>
  <si>
    <t>mbar</t>
  </si>
  <si>
    <t>F</t>
  </si>
  <si>
    <t>SA-100 pump</t>
  </si>
  <si>
    <t>m/sec</t>
  </si>
  <si>
    <t>mm radius</t>
  </si>
  <si>
    <t>in dia</t>
  </si>
  <si>
    <t>1/4"</t>
  </si>
  <si>
    <t>1/2"</t>
  </si>
  <si>
    <t>3/8"</t>
  </si>
  <si>
    <t>1/8" sample tube</t>
  </si>
  <si>
    <t>Measured</t>
  </si>
  <si>
    <t>base</t>
  </si>
  <si>
    <t>Total</t>
  </si>
  <si>
    <t>Codes</t>
  </si>
  <si>
    <t>Digits</t>
  </si>
  <si>
    <t>dia-in</t>
  </si>
  <si>
    <t>len-in</t>
  </si>
  <si>
    <t>columns</t>
  </si>
  <si>
    <t>Check PTFE compatibility</t>
  </si>
  <si>
    <t>Silicone</t>
  </si>
  <si>
    <t>Viton</t>
  </si>
  <si>
    <t>EPDM</t>
  </si>
  <si>
    <t>HNBR</t>
  </si>
  <si>
    <t>PTFE</t>
  </si>
  <si>
    <t>l</t>
  </si>
  <si>
    <t>kPa</t>
  </si>
  <si>
    <t>volume</t>
  </si>
  <si>
    <t>pmax</t>
  </si>
  <si>
    <t>pmin</t>
  </si>
  <si>
    <t>Delivery</t>
  </si>
  <si>
    <t>Time</t>
  </si>
  <si>
    <t>sec</t>
  </si>
  <si>
    <t>Solberg</t>
  </si>
  <si>
    <t>Solberg HE14</t>
  </si>
  <si>
    <t>Description</t>
  </si>
  <si>
    <t>Relay rack 28U</t>
  </si>
  <si>
    <t>8u panel</t>
  </si>
  <si>
    <t>5u panel</t>
  </si>
  <si>
    <t>Caster</t>
  </si>
  <si>
    <t>LeGrand</t>
  </si>
  <si>
    <t>Manuf. Part ID</t>
  </si>
  <si>
    <t>Short Tank</t>
  </si>
  <si>
    <t>Long Tank</t>
  </si>
  <si>
    <t>sl/m</t>
  </si>
  <si>
    <t>bar</t>
  </si>
  <si>
    <t>l/m</t>
  </si>
  <si>
    <t>cm</t>
  </si>
  <si>
    <t>cm^2</t>
  </si>
  <si>
    <t>flowrate</t>
  </si>
  <si>
    <t>pressure</t>
  </si>
  <si>
    <t>flow volume</t>
  </si>
  <si>
    <t>radius</t>
  </si>
  <si>
    <t>area</t>
  </si>
  <si>
    <t>velocity</t>
  </si>
  <si>
    <t>cm/s</t>
  </si>
  <si>
    <t>tres</t>
  </si>
  <si>
    <t>inner surface</t>
  </si>
  <si>
    <t>vk</t>
  </si>
  <si>
    <t>R</t>
  </si>
  <si>
    <t>vd</t>
  </si>
  <si>
    <t>rho</t>
  </si>
  <si>
    <t xml:space="preserve">m </t>
  </si>
  <si>
    <t>Ns/m^2</t>
  </si>
  <si>
    <t>mm^2/s</t>
  </si>
  <si>
    <t>cSt</t>
  </si>
  <si>
    <t>AC RTU</t>
  </si>
  <si>
    <t>Top row</t>
  </si>
  <si>
    <t>Bottom row</t>
  </si>
  <si>
    <t>Equipment</t>
  </si>
  <si>
    <t>Air side</t>
  </si>
  <si>
    <t>Air Pump</t>
  </si>
  <si>
    <t>Inet filter</t>
  </si>
  <si>
    <t>Relief valve</t>
  </si>
  <si>
    <t>Separator</t>
  </si>
  <si>
    <t>Micron FIlter</t>
  </si>
  <si>
    <t>Column 1</t>
  </si>
  <si>
    <t>Inlet valve</t>
  </si>
  <si>
    <t>Outlet check</t>
  </si>
  <si>
    <t>Regen out temp</t>
  </si>
  <si>
    <t>Regen out valve</t>
  </si>
  <si>
    <t>Column 2</t>
  </si>
  <si>
    <t>Separator inlet temp</t>
  </si>
  <si>
    <t>O2 Side</t>
  </si>
  <si>
    <t>Air inlet flow</t>
  </si>
  <si>
    <t>Air inlet temp</t>
  </si>
  <si>
    <t>Air inlet valve</t>
  </si>
  <si>
    <t>N2 Purge Valve</t>
  </si>
  <si>
    <t>O2 out check</t>
  </si>
  <si>
    <t>O2 purge check</t>
  </si>
  <si>
    <t>O2 purge valve</t>
  </si>
  <si>
    <t>O2 repressure valve</t>
  </si>
  <si>
    <t>P101</t>
  </si>
  <si>
    <t>F101</t>
  </si>
  <si>
    <t>V101</t>
  </si>
  <si>
    <t>E101</t>
  </si>
  <si>
    <t>T101</t>
  </si>
  <si>
    <t>D101</t>
  </si>
  <si>
    <t>T102</t>
  </si>
  <si>
    <t>V111</t>
  </si>
  <si>
    <t>T110</t>
  </si>
  <si>
    <t>T120</t>
  </si>
  <si>
    <t>V112</t>
  </si>
  <si>
    <t>V113</t>
  </si>
  <si>
    <t>V121</t>
  </si>
  <si>
    <t>V122</t>
  </si>
  <si>
    <t>V123</t>
  </si>
  <si>
    <t>C110</t>
  </si>
  <si>
    <t>C120</t>
  </si>
  <si>
    <t>V110</t>
  </si>
  <si>
    <t>V120</t>
  </si>
  <si>
    <t>F102</t>
  </si>
  <si>
    <t>X101</t>
  </si>
  <si>
    <t>F201</t>
  </si>
  <si>
    <t>T201</t>
  </si>
  <si>
    <t>C220</t>
  </si>
  <si>
    <t>C230</t>
  </si>
  <si>
    <t>V220</t>
  </si>
  <si>
    <t>V221</t>
  </si>
  <si>
    <t>V222</t>
  </si>
  <si>
    <t>V223</t>
  </si>
  <si>
    <t>V230</t>
  </si>
  <si>
    <t>V231</t>
  </si>
  <si>
    <t>V232</t>
  </si>
  <si>
    <t>V233</t>
  </si>
  <si>
    <t>V201</t>
  </si>
  <si>
    <t>V202</t>
  </si>
  <si>
    <t>O2 Accumulator</t>
  </si>
  <si>
    <t>D201</t>
  </si>
  <si>
    <t>O2 Regulator</t>
  </si>
  <si>
    <t>V203</t>
  </si>
  <si>
    <t>O2 Accum pressure</t>
  </si>
  <si>
    <t>P201</t>
  </si>
  <si>
    <t xml:space="preserve">Air Inlet Pressure </t>
  </si>
  <si>
    <t>P202</t>
  </si>
  <si>
    <t>O2 Delivery Pressure</t>
  </si>
  <si>
    <t>P203</t>
  </si>
  <si>
    <t>O2 Delivery Flow</t>
  </si>
  <si>
    <t>F202</t>
  </si>
  <si>
    <t>X102</t>
  </si>
  <si>
    <t>Air outlet flow</t>
  </si>
  <si>
    <t>Regen Air flow</t>
  </si>
  <si>
    <t>Regen N2 Flow</t>
  </si>
  <si>
    <t>F103</t>
  </si>
  <si>
    <t>FIC-101</t>
  </si>
  <si>
    <t>FIC-102</t>
  </si>
  <si>
    <t>FIC-103</t>
  </si>
  <si>
    <t>FT-201</t>
  </si>
  <si>
    <t>TE-201</t>
  </si>
  <si>
    <t>PT-201</t>
  </si>
  <si>
    <t>TE-120</t>
  </si>
  <si>
    <t>TE-110</t>
  </si>
  <si>
    <t>Regen in check</t>
  </si>
  <si>
    <t>TE-101</t>
  </si>
  <si>
    <t>PT-202</t>
  </si>
  <si>
    <t>PT-203</t>
  </si>
  <si>
    <t>Blowdown Flow</t>
  </si>
  <si>
    <t>F203</t>
  </si>
  <si>
    <t>FT-203</t>
  </si>
  <si>
    <t>F204</t>
  </si>
  <si>
    <t>FIC-204</t>
  </si>
  <si>
    <t>FIC-202</t>
  </si>
  <si>
    <t>FIC-205</t>
  </si>
  <si>
    <t>F205</t>
  </si>
  <si>
    <t>F206</t>
  </si>
  <si>
    <t>FIC-206</t>
  </si>
  <si>
    <t>F207</t>
  </si>
  <si>
    <t>FIC-207</t>
  </si>
  <si>
    <t>AIr Outlet Pressure</t>
  </si>
  <si>
    <t>PI-101</t>
  </si>
  <si>
    <t>AP101</t>
  </si>
  <si>
    <t>V102</t>
  </si>
  <si>
    <t>V103</t>
  </si>
  <si>
    <t>X103</t>
  </si>
  <si>
    <t>P102</t>
  </si>
  <si>
    <t>PI-102</t>
  </si>
  <si>
    <t>Blowdown regulator</t>
  </si>
  <si>
    <t>Blowdown Bypass</t>
  </si>
  <si>
    <t>BPV-203</t>
  </si>
  <si>
    <t>V204</t>
  </si>
  <si>
    <t>AC Solenoid</t>
  </si>
  <si>
    <t>4-20 mA to 3-15 psig</t>
  </si>
  <si>
    <t>BOM</t>
  </si>
  <si>
    <t>NC</t>
  </si>
  <si>
    <t>+</t>
  </si>
  <si>
    <t>-</t>
  </si>
  <si>
    <t>N</t>
  </si>
  <si>
    <t>L</t>
  </si>
  <si>
    <t>AC</t>
  </si>
  <si>
    <t>SP</t>
  </si>
  <si>
    <t>OP</t>
  </si>
  <si>
    <t>CL</t>
  </si>
  <si>
    <t>COM</t>
  </si>
  <si>
    <t>Pump Ctl</t>
  </si>
  <si>
    <t>Cond Temp</t>
  </si>
  <si>
    <t>Regen Temp</t>
  </si>
  <si>
    <t>C120 temp</t>
  </si>
  <si>
    <t>C110 temp</t>
  </si>
  <si>
    <t xml:space="preserve">V110 </t>
  </si>
  <si>
    <t>DC</t>
  </si>
  <si>
    <t>BP Regulator</t>
  </si>
  <si>
    <t>Back Pressure Valve</t>
  </si>
  <si>
    <t>I/P Control Pressure</t>
  </si>
  <si>
    <t>3-6 (?) PSI control range</t>
  </si>
  <si>
    <t>Regen in temp</t>
  </si>
  <si>
    <t>Regen Heater</t>
  </si>
  <si>
    <t>H101</t>
  </si>
  <si>
    <t>PWM via internal RTU</t>
  </si>
  <si>
    <t>PWM RTU</t>
  </si>
  <si>
    <t>PI-202</t>
  </si>
  <si>
    <t>PI-203</t>
  </si>
  <si>
    <t>Point</t>
  </si>
  <si>
    <t>ID</t>
  </si>
  <si>
    <t>P&amp;ID Tag</t>
  </si>
  <si>
    <t>N2 Adsober 1</t>
  </si>
  <si>
    <t>N2 Adsober 2</t>
  </si>
  <si>
    <t>H2O Adsober 1</t>
  </si>
  <si>
    <t>H2O Adsorber 2</t>
  </si>
  <si>
    <t>IC-101</t>
  </si>
  <si>
    <t>O2 Purge Flow</t>
  </si>
  <si>
    <t>O2 Column Sample Flow</t>
  </si>
  <si>
    <t>O2 Accum Sample Flow</t>
  </si>
  <si>
    <t>FIC-203</t>
  </si>
  <si>
    <t>TE-102</t>
  </si>
  <si>
    <t>XV-103</t>
  </si>
  <si>
    <t>AP-101</t>
  </si>
  <si>
    <t>V-110</t>
  </si>
  <si>
    <t>V-210</t>
  </si>
  <si>
    <t>V-220</t>
  </si>
  <si>
    <t>V-221</t>
  </si>
  <si>
    <t>V-230</t>
  </si>
  <si>
    <t>V-231</t>
  </si>
  <si>
    <t>V-201</t>
  </si>
  <si>
    <t>V-202</t>
  </si>
  <si>
    <t>V-204</t>
  </si>
  <si>
    <t>Fan Pwr</t>
  </si>
  <si>
    <t>M101</t>
  </si>
  <si>
    <t>M102</t>
  </si>
  <si>
    <t>M-101</t>
  </si>
  <si>
    <t>Motor for air pump</t>
  </si>
  <si>
    <t>Condenser Fan</t>
  </si>
  <si>
    <t>M-102</t>
  </si>
  <si>
    <t>Air RTU</t>
  </si>
  <si>
    <t>O2 RTU</t>
  </si>
  <si>
    <t>Standby Switch</t>
  </si>
  <si>
    <t>Run Switch</t>
  </si>
  <si>
    <t>O2 Status Indicator</t>
  </si>
  <si>
    <t>Interface</t>
  </si>
  <si>
    <t>Pins</t>
  </si>
  <si>
    <t>I2C</t>
  </si>
  <si>
    <t>RTD</t>
  </si>
  <si>
    <t>1-5V</t>
  </si>
  <si>
    <t xml:space="preserve">VFD </t>
  </si>
  <si>
    <t>SPI</t>
  </si>
  <si>
    <t>Conn pins</t>
  </si>
  <si>
    <t>Standby Switch out</t>
  </si>
  <si>
    <t>AIN</t>
  </si>
  <si>
    <t>DIN</t>
  </si>
  <si>
    <t>DOUT*3</t>
  </si>
  <si>
    <t>O2 Quality Analyzer</t>
  </si>
  <si>
    <t>Z201</t>
  </si>
  <si>
    <t>O2 Delivery Quality</t>
  </si>
  <si>
    <t>Z-201</t>
  </si>
  <si>
    <t>%O2 Sensor</t>
  </si>
  <si>
    <t>STBY</t>
  </si>
  <si>
    <t>O2 Production</t>
  </si>
  <si>
    <t>F208</t>
  </si>
  <si>
    <t>FIC-208</t>
  </si>
  <si>
    <t>Blowdown Pressure</t>
  </si>
  <si>
    <t>P204</t>
  </si>
  <si>
    <t>PI-204</t>
  </si>
  <si>
    <t>IN</t>
  </si>
  <si>
    <t>OUT</t>
  </si>
  <si>
    <t>Air Control RTU</t>
  </si>
  <si>
    <t>Vopen</t>
  </si>
  <si>
    <t>Sopen</t>
  </si>
  <si>
    <t>Sclose</t>
  </si>
  <si>
    <t>Vclose</t>
  </si>
  <si>
    <t>C110 Inlet</t>
  </si>
  <si>
    <t>C120 Inlet</t>
  </si>
  <si>
    <t>C220 Inlet</t>
  </si>
  <si>
    <t>C220 blowdown</t>
  </si>
  <si>
    <t>C230 Inlet</t>
  </si>
  <si>
    <t>O2 Purge</t>
  </si>
  <si>
    <t>O2 Repressure</t>
  </si>
  <si>
    <t>C110 Purge Out</t>
  </si>
  <si>
    <t>C120 Purge Out</t>
  </si>
  <si>
    <t>Air Bypass Control</t>
  </si>
  <si>
    <t>Blowdown Backpressure</t>
  </si>
  <si>
    <t>C230 blowdown</t>
  </si>
  <si>
    <t>MCU Pin</t>
  </si>
  <si>
    <t>Ref</t>
  </si>
  <si>
    <t>Func</t>
  </si>
  <si>
    <t>Ribbon Pin</t>
  </si>
  <si>
    <t>Open</t>
  </si>
  <si>
    <t>Close</t>
  </si>
  <si>
    <t>Spare</t>
  </si>
  <si>
    <t>Run</t>
  </si>
  <si>
    <t>Fwd</t>
  </si>
  <si>
    <t>Rev</t>
  </si>
  <si>
    <t>PWM</t>
  </si>
  <si>
    <t>CS</t>
  </si>
  <si>
    <t>(SPI)</t>
  </si>
  <si>
    <t>CLK</t>
  </si>
  <si>
    <t>SDO</t>
  </si>
  <si>
    <t>SDI</t>
  </si>
  <si>
    <t>RDY</t>
  </si>
  <si>
    <t>D32</t>
  </si>
  <si>
    <t>D34</t>
  </si>
  <si>
    <t>D36</t>
  </si>
  <si>
    <t>D38</t>
  </si>
  <si>
    <t>D40</t>
  </si>
  <si>
    <t>D42</t>
  </si>
  <si>
    <t>D33</t>
  </si>
  <si>
    <t>D35</t>
  </si>
  <si>
    <t>D37</t>
  </si>
  <si>
    <t>D44</t>
  </si>
  <si>
    <t>D11</t>
  </si>
  <si>
    <t>D10</t>
  </si>
  <si>
    <t>D9</t>
  </si>
  <si>
    <t>D8</t>
  </si>
  <si>
    <t>D7</t>
  </si>
  <si>
    <t>D6</t>
  </si>
  <si>
    <t>D5</t>
  </si>
  <si>
    <t>D26</t>
  </si>
  <si>
    <t>D25</t>
  </si>
  <si>
    <t>D24</t>
  </si>
  <si>
    <t>D23</t>
  </si>
  <si>
    <t>D4</t>
  </si>
  <si>
    <t>SCK</t>
  </si>
  <si>
    <t>MISO</t>
  </si>
  <si>
    <t>MOSI</t>
  </si>
  <si>
    <t>D53</t>
  </si>
  <si>
    <t>D52</t>
  </si>
  <si>
    <t>D29</t>
  </si>
  <si>
    <t>D30</t>
  </si>
  <si>
    <t>D31</t>
  </si>
  <si>
    <t>D27</t>
  </si>
  <si>
    <t>D28</t>
  </si>
  <si>
    <t>MCU</t>
  </si>
  <si>
    <t>SDA</t>
  </si>
  <si>
    <t>A0</t>
  </si>
  <si>
    <t>A1</t>
  </si>
  <si>
    <t>A2</t>
  </si>
  <si>
    <t>A3</t>
  </si>
  <si>
    <t>D22</t>
  </si>
  <si>
    <t>RES/L</t>
  </si>
  <si>
    <t>ALM/L</t>
  </si>
  <si>
    <t>LOW/L</t>
  </si>
  <si>
    <t>OK/L</t>
  </si>
  <si>
    <t>SIO</t>
  </si>
  <si>
    <t>STB/L</t>
  </si>
  <si>
    <t>I2C address</t>
  </si>
  <si>
    <t>Local display</t>
  </si>
  <si>
    <t xml:space="preserve">scl </t>
  </si>
  <si>
    <t>sda</t>
  </si>
  <si>
    <t>D21</t>
  </si>
  <si>
    <t>D20</t>
  </si>
  <si>
    <t>0x78</t>
  </si>
  <si>
    <t>SCL</t>
  </si>
  <si>
    <t>0x02</t>
  </si>
  <si>
    <t>0x40</t>
  </si>
  <si>
    <t>Manuf. Description</t>
  </si>
  <si>
    <t>Manufacturer/Vendor</t>
  </si>
  <si>
    <t>Consumable</t>
  </si>
  <si>
    <t>JLOX-101 data sheet</t>
  </si>
  <si>
    <t>O24U Dryer Column</t>
  </si>
  <si>
    <t>O24U PSA Column</t>
  </si>
  <si>
    <t>Li-X, Na-X</t>
  </si>
  <si>
    <t>Stored Vol</t>
  </si>
  <si>
    <t>where</t>
  </si>
  <si>
    <t>HP = horsepower</t>
  </si>
  <si>
    <t>N = number of compression stages</t>
  </si>
  <si>
    <t>k = 1.41 = adiabatic expansion coefficient</t>
  </si>
  <si>
    <r>
      <t>P</t>
    </r>
    <r>
      <rPr>
        <i/>
        <vertAlign val="subscript"/>
        <sz val="14"/>
        <color rgb="FF000000"/>
        <rFont val="Arial"/>
        <family val="2"/>
      </rPr>
      <t>1</t>
    </r>
    <r>
      <rPr>
        <i/>
        <sz val="14"/>
        <color rgb="FF000000"/>
        <rFont val="Arial"/>
        <family val="2"/>
      </rPr>
      <t> = absolute initial atmospheric pressure (psi) (14.7 psi at sea level)</t>
    </r>
  </si>
  <si>
    <r>
      <t>P</t>
    </r>
    <r>
      <rPr>
        <i/>
        <vertAlign val="subscript"/>
        <sz val="14"/>
        <color rgb="FF000000"/>
        <rFont val="Arial"/>
        <family val="2"/>
      </rPr>
      <t>2</t>
    </r>
    <r>
      <rPr>
        <i/>
        <sz val="14"/>
        <color rgb="FF000000"/>
        <rFont val="Arial"/>
        <family val="2"/>
      </rPr>
      <t> = absolute final pressure after compression (psi)</t>
    </r>
  </si>
  <si>
    <t>V = volume of air at atmospheric pressure - standard or free air (scfm, ft3/min)</t>
  </si>
  <si>
    <r>
      <t>HP = [144 N P</t>
    </r>
    <r>
      <rPr>
        <i/>
        <vertAlign val="subscript"/>
        <sz val="14"/>
        <color rgb="FF000000"/>
        <rFont val="Arial"/>
        <family val="2"/>
      </rPr>
      <t>1</t>
    </r>
    <r>
      <rPr>
        <i/>
        <sz val="14"/>
        <color rgb="FF000000"/>
        <rFont val="Arial"/>
        <family val="2"/>
      </rPr>
      <t> V k / (33000 (k - 1))] [(P</t>
    </r>
    <r>
      <rPr>
        <i/>
        <vertAlign val="subscript"/>
        <sz val="14"/>
        <color rgb="FF000000"/>
        <rFont val="Arial"/>
        <family val="2"/>
      </rPr>
      <t>2 </t>
    </r>
    <r>
      <rPr>
        <i/>
        <sz val="14"/>
        <color rgb="FF000000"/>
        <rFont val="Arial"/>
        <family val="2"/>
      </rPr>
      <t>/ P</t>
    </r>
    <r>
      <rPr>
        <i/>
        <vertAlign val="subscript"/>
        <sz val="14"/>
        <color rgb="FF000000"/>
        <rFont val="Arial"/>
        <family val="2"/>
      </rPr>
      <t>1</t>
    </r>
    <r>
      <rPr>
        <i/>
        <sz val="14"/>
        <color rgb="FF000000"/>
        <rFont val="Arial"/>
        <family val="2"/>
      </rPr>
      <t>)</t>
    </r>
    <r>
      <rPr>
        <i/>
        <vertAlign val="superscript"/>
        <sz val="14"/>
        <color rgb="FF000000"/>
        <rFont val="Arial"/>
        <family val="2"/>
      </rPr>
      <t>(k - 1)/N k</t>
    </r>
    <r>
      <rPr>
        <i/>
        <sz val="14"/>
        <color rgb="FF000000"/>
        <rFont val="Arial"/>
        <family val="2"/>
      </rPr>
      <t> - 1] </t>
    </r>
  </si>
  <si>
    <t>Stages</t>
  </si>
  <si>
    <t>k</t>
  </si>
  <si>
    <t>P1</t>
  </si>
  <si>
    <t>P2</t>
  </si>
  <si>
    <t>Pg</t>
  </si>
  <si>
    <t>V</t>
  </si>
  <si>
    <t>PSIA</t>
  </si>
  <si>
    <t>constant</t>
  </si>
  <si>
    <t>KW</t>
  </si>
  <si>
    <t>eff</t>
  </si>
  <si>
    <t>HPideal</t>
  </si>
  <si>
    <t>g/l</t>
  </si>
  <si>
    <t>kg/day</t>
  </si>
  <si>
    <t>lpm = 1MTpd</t>
  </si>
  <si>
    <t>g/mol</t>
  </si>
  <si>
    <t>l/mol</t>
  </si>
  <si>
    <t>SiO2</t>
  </si>
  <si>
    <t>Al2O3</t>
  </si>
  <si>
    <t>AlSiO</t>
  </si>
  <si>
    <t>zeolite</t>
  </si>
  <si>
    <t>silica gel</t>
  </si>
  <si>
    <t>alumina</t>
  </si>
  <si>
    <t>N2</t>
  </si>
  <si>
    <t>O2</t>
  </si>
  <si>
    <t>Ar</t>
  </si>
  <si>
    <t>Other</t>
  </si>
  <si>
    <t>packing factor</t>
  </si>
  <si>
    <t>gas volume</t>
  </si>
  <si>
    <t>l/kg</t>
  </si>
  <si>
    <t>iso-1</t>
  </si>
  <si>
    <t>cyclecap</t>
  </si>
  <si>
    <t>bedweight</t>
  </si>
  <si>
    <t>bedcap</t>
  </si>
  <si>
    <t>Airtotal</t>
  </si>
  <si>
    <t>Prodrate</t>
  </si>
  <si>
    <t>Prodrecovery</t>
  </si>
  <si>
    <t>Waste</t>
  </si>
  <si>
    <t>Product</t>
  </si>
  <si>
    <t>Wasteload</t>
  </si>
  <si>
    <t>Loadtime</t>
  </si>
  <si>
    <t>air/O2</t>
  </si>
  <si>
    <t>liters of waste per kg of adsorbent, adsorbed each cycle, no hysteresis</t>
  </si>
  <si>
    <t>liters of waste adsorbed in the bed each cycle</t>
  </si>
  <si>
    <t>recovery rate to calculate air needed for raw product out of column</t>
  </si>
  <si>
    <t>avgblowdown</t>
  </si>
  <si>
    <t>N2cap</t>
  </si>
  <si>
    <t>Li-X ~= 22l/kg</t>
  </si>
  <si>
    <t>fraction of capacity used from P/P0 range read off iostherm chart for adsorb/desorb pressure ratio</t>
  </si>
  <si>
    <t>Aircycle</t>
  </si>
  <si>
    <t xml:space="preserve">l </t>
  </si>
  <si>
    <t>Volume of air delivered to the bed per cycle</t>
  </si>
  <si>
    <t>airflow into bed during adsorption cycle</t>
  </si>
  <si>
    <t>Time to load the bed with waste</t>
  </si>
  <si>
    <t xml:space="preserve">95% O2, 5% Ar </t>
  </si>
  <si>
    <t>recovered in product</t>
  </si>
  <si>
    <t>adsorbed in bed</t>
  </si>
  <si>
    <t>adsorbed waste over bed loading time assuming a/b operation with 2 columns</t>
  </si>
  <si>
    <t>Average waste collection rate during adsorption</t>
  </si>
  <si>
    <t>Tap Plastic</t>
  </si>
  <si>
    <t>King Star Board 1"</t>
  </si>
  <si>
    <t>3", 300lb</t>
  </si>
  <si>
    <t>14x20 custom</t>
  </si>
  <si>
    <t>8-3/4x20 custom</t>
  </si>
  <si>
    <t>Prodcycle</t>
  </si>
  <si>
    <t>Purgecycle</t>
  </si>
  <si>
    <t>not adsorbed/cycle</t>
  </si>
  <si>
    <t>recovered</t>
  </si>
  <si>
    <t>purge</t>
  </si>
  <si>
    <t>product returned to purge per cycle</t>
  </si>
  <si>
    <t>product delivered per cycle</t>
  </si>
  <si>
    <t>Bed-product recovery ratio</t>
  </si>
  <si>
    <t>.78 N2 + .01 O2</t>
  </si>
  <si>
    <t>30lpm max</t>
  </si>
  <si>
    <t>MonoColumn VPSA, same bed and pump as O24U</t>
  </si>
  <si>
    <t>Big Slice 100 lpm @2</t>
  </si>
  <si>
    <t>MVP slice 20-30 lpm @2</t>
  </si>
  <si>
    <t>Tester Column 10 lpm</t>
  </si>
  <si>
    <t>AlO3 Tester</t>
  </si>
  <si>
    <t>Alt Tester 5 lpm</t>
  </si>
  <si>
    <t>Compressor</t>
  </si>
  <si>
    <t>Vacuum pump</t>
  </si>
  <si>
    <t>Column HW</t>
  </si>
  <si>
    <t>Zeolite</t>
  </si>
  <si>
    <t>MVP Demo</t>
  </si>
  <si>
    <t>O2 lpm for 2 modules</t>
  </si>
  <si>
    <t>Table demo</t>
  </si>
  <si>
    <t>MVP bigger</t>
  </si>
  <si>
    <t>500g</t>
  </si>
  <si>
    <t>1-2kg</t>
  </si>
  <si>
    <t>4x48, 6x36</t>
  </si>
  <si>
    <t>2.5x20, 3x24</t>
  </si>
  <si>
    <t>2x16 PVC</t>
  </si>
  <si>
    <t>BOS</t>
  </si>
  <si>
    <t xml:space="preserve"> 3x36, 4x36</t>
  </si>
  <si>
    <t>3-4kg</t>
  </si>
  <si>
    <t>6-10 kg</t>
  </si>
  <si>
    <t>Full Scale Demo</t>
  </si>
  <si>
    <t>50-60</t>
  </si>
  <si>
    <t>25-30</t>
  </si>
  <si>
    <t>Compressor FA slpm</t>
  </si>
  <si>
    <t>Vacuum pump slpm</t>
  </si>
  <si>
    <t>O2 lpm for 1 module</t>
  </si>
  <si>
    <t>25</t>
  </si>
  <si>
    <t>2.5</t>
  </si>
  <si>
    <t>6-7.5</t>
  </si>
  <si>
    <t>12-15</t>
  </si>
  <si>
    <t>mmol/g</t>
  </si>
  <si>
    <t>ml/g</t>
  </si>
  <si>
    <t>adsH</t>
  </si>
  <si>
    <t>adsL</t>
  </si>
  <si>
    <t>mg/g</t>
  </si>
  <si>
    <t>oxikit</t>
  </si>
  <si>
    <t>hp</t>
  </si>
  <si>
    <t>vpsa</t>
  </si>
  <si>
    <t>full range</t>
  </si>
  <si>
    <t>Raw production from column</t>
  </si>
  <si>
    <t>7.5 psig</t>
  </si>
  <si>
    <t>0.5 bar</t>
  </si>
  <si>
    <t>0.3 bar</t>
  </si>
  <si>
    <t>Oxikit Li sieve bed</t>
  </si>
  <si>
    <t>Oxikit Li o2 tank</t>
  </si>
  <si>
    <t>3/5 fill</t>
  </si>
  <si>
    <t>3/5 blowdown</t>
  </si>
  <si>
    <t>3/5 vac</t>
  </si>
  <si>
    <t>puffer 5-7 lpm pulse</t>
  </si>
  <si>
    <t>top</t>
  </si>
  <si>
    <t>bot</t>
  </si>
  <si>
    <t>dia</t>
  </si>
  <si>
    <t>in</t>
  </si>
  <si>
    <t>stroke</t>
  </si>
  <si>
    <t>displacement</t>
  </si>
  <si>
    <t>cm^3</t>
  </si>
  <si>
    <t>Cylinders</t>
  </si>
  <si>
    <t>RPM</t>
  </si>
  <si>
    <t xml:space="preserve">"200 lpm, 1100W, USD270, 20kg" pump </t>
  </si>
  <si>
    <t>60 hz</t>
  </si>
  <si>
    <t>1.25 sch 40</t>
  </si>
  <si>
    <t>1.5 sch 40</t>
  </si>
  <si>
    <t>2 sch 40</t>
  </si>
  <si>
    <t>Static CR</t>
  </si>
  <si>
    <t>FA Volume</t>
  </si>
  <si>
    <t>Slice Proto</t>
  </si>
  <si>
    <t>Radius</t>
  </si>
  <si>
    <t>Bend length</t>
  </si>
  <si>
    <t>180 Bends</t>
  </si>
  <si>
    <t>(in)</t>
  </si>
  <si>
    <t>Tail length</t>
  </si>
  <si>
    <t>Total path</t>
  </si>
  <si>
    <t>Air</t>
  </si>
  <si>
    <t>Diameter</t>
  </si>
  <si>
    <t>fill factor</t>
  </si>
  <si>
    <t>Cycle Factor</t>
  </si>
  <si>
    <t>CFM</t>
  </si>
  <si>
    <t>Recovery</t>
  </si>
  <si>
    <t>kgmax</t>
  </si>
  <si>
    <t>kg-sieve</t>
  </si>
  <si>
    <t>lpm/kg raw</t>
  </si>
  <si>
    <t>g/cc</t>
  </si>
  <si>
    <t>sieve/volume</t>
  </si>
  <si>
    <t>Zeolite utilization</t>
  </si>
  <si>
    <t>total-regen/total</t>
  </si>
  <si>
    <t>Forward O2 recovery</t>
  </si>
  <si>
    <t>Throttle</t>
  </si>
  <si>
    <t>kg sieve</t>
  </si>
  <si>
    <t>lpm net</t>
  </si>
  <si>
    <t>O2 recovery</t>
  </si>
  <si>
    <t>TesterData</t>
  </si>
  <si>
    <t>Thomas 2660/E160</t>
  </si>
  <si>
    <t>DC unit/ tiny AC</t>
  </si>
  <si>
    <t>O2 lpm</t>
  </si>
  <si>
    <t>Air lpm</t>
  </si>
  <si>
    <t>Zeolite sieve</t>
  </si>
  <si>
    <t>Zeolite max</t>
  </si>
  <si>
    <t>litres</t>
  </si>
  <si>
    <t>PSA + Purge</t>
  </si>
  <si>
    <t>ZW280</t>
  </si>
  <si>
    <t>Welch 2585</t>
  </si>
  <si>
    <t>12cfm</t>
  </si>
  <si>
    <t>VPSA single</t>
  </si>
  <si>
    <t>VPSA N+1</t>
  </si>
  <si>
    <t>l/(min*kg)</t>
  </si>
  <si>
    <t>Target system at scale - 50 l/m per slice, 2 slice minimum</t>
  </si>
  <si>
    <t>6" column with mixed sieve media</t>
  </si>
  <si>
    <t>12 CFM pump + smaller vacuum pump for 1:1 timing</t>
  </si>
  <si>
    <t>N+1 with N&gt;=2</t>
  </si>
  <si>
    <t>3 slice minimum?</t>
  </si>
  <si>
    <t>2X vacuum rate for 1/2 time?</t>
  </si>
  <si>
    <t>2/3 size pump per slice, shared vacuum use, smaller slices, time-slice</t>
  </si>
  <si>
    <t>1.5X with both pumps</t>
  </si>
  <si>
    <t>160 + 80</t>
  </si>
  <si>
    <t>120 + 120</t>
  </si>
  <si>
    <t>3 time slices</t>
  </si>
  <si>
    <t>3+1, 2</t>
  </si>
  <si>
    <t>1/3*240 + 2/3*120</t>
  </si>
  <si>
    <t>(120+120)*1/3 + 120*2/3</t>
  </si>
  <si>
    <t>120*2/3</t>
  </si>
  <si>
    <t>Pa</t>
  </si>
  <si>
    <t>Pb</t>
  </si>
  <si>
    <t>Prod</t>
  </si>
  <si>
    <t>Press</t>
  </si>
  <si>
    <t>Vac</t>
  </si>
  <si>
    <t>BD</t>
  </si>
  <si>
    <t>Ca</t>
  </si>
  <si>
    <t>Cb</t>
  </si>
  <si>
    <t>Va</t>
  </si>
  <si>
    <t>Vb</t>
  </si>
  <si>
    <t>4/3</t>
  </si>
  <si>
    <t>4/3x</t>
  </si>
  <si>
    <t>1x</t>
  </si>
  <si>
    <t>5/6</t>
  </si>
  <si>
    <t>1/2x</t>
  </si>
  <si>
    <t>3/6</t>
  </si>
  <si>
    <t>6/6</t>
  </si>
  <si>
    <t>6/5x</t>
  </si>
  <si>
    <t>3/4</t>
  </si>
  <si>
    <t>Vc</t>
  </si>
  <si>
    <t>Pc</t>
  </si>
  <si>
    <t>Cc</t>
  </si>
  <si>
    <t>12/6</t>
  </si>
  <si>
    <t>3/2x</t>
  </si>
  <si>
    <t>2/3</t>
  </si>
  <si>
    <t>single-pump slice</t>
  </si>
  <si>
    <t>dual-pump slice</t>
  </si>
  <si>
    <t>3/2</t>
  </si>
  <si>
    <t>5/3</t>
  </si>
  <si>
    <t>1x - 4/3x</t>
  </si>
  <si>
    <t>2X Prod</t>
  </si>
  <si>
    <t>2X 2660/143(114)</t>
  </si>
  <si>
    <t>Axg 2:1</t>
  </si>
  <si>
    <t>32.3 lpm O2</t>
  </si>
  <si>
    <t>lpm offset</t>
  </si>
  <si>
    <t>l carry over</t>
  </si>
  <si>
    <t>s period</t>
  </si>
  <si>
    <t>5 liter, +50kPa</t>
  </si>
  <si>
    <t>Column</t>
  </si>
  <si>
    <t>5/5</t>
  </si>
  <si>
    <t>10/5</t>
  </si>
  <si>
    <t>15 psig/vac</t>
  </si>
  <si>
    <t>40 psig/psa</t>
  </si>
  <si>
    <t>25 psig/vpsa</t>
  </si>
  <si>
    <t>height</t>
  </si>
  <si>
    <t>weight</t>
  </si>
  <si>
    <t>g</t>
  </si>
  <si>
    <t>ml</t>
  </si>
  <si>
    <t>density</t>
  </si>
  <si>
    <t>Rinner</t>
  </si>
  <si>
    <t>Router</t>
  </si>
  <si>
    <t>Audio design</t>
  </si>
  <si>
    <t>Switching system for audio demo</t>
  </si>
  <si>
    <t>Audio Amp</t>
  </si>
  <si>
    <t>Tube amp hacks and builds in HS</t>
  </si>
  <si>
    <t>NKANAL and PC GUI</t>
  </si>
  <si>
    <t>PC Software</t>
  </si>
  <si>
    <t>Auto Engr</t>
  </si>
  <si>
    <t>Auto Projects</t>
  </si>
  <si>
    <t>Computer Arch</t>
  </si>
  <si>
    <t>1980-1983</t>
  </si>
  <si>
    <t>1978-1980</t>
  </si>
  <si>
    <t>1970-1975</t>
  </si>
  <si>
    <t>1985-1987</t>
  </si>
  <si>
    <t>1987-1989</t>
  </si>
  <si>
    <t>1989-1995</t>
  </si>
  <si>
    <t>Fault tolerant computing, system architecture, quantitative architecture analysis, memory system design (MMU to VSM), system level product development,</t>
  </si>
  <si>
    <t>CPU Microarchitecture, high speed digital circuit design, design for test and reliability, board level produt development</t>
  </si>
  <si>
    <t>PC software development for invoices and gas custody transfer, tank report proxy</t>
  </si>
  <si>
    <t>Process Control</t>
  </si>
  <si>
    <t>System architecture across product lines, system modeling and simulation, performance and benchmarking, managing a department</t>
  </si>
  <si>
    <t>Analytic performance analysis an modeling, workload and memory system interaction, hardware and software scalability</t>
  </si>
  <si>
    <t>1996-2000</t>
  </si>
  <si>
    <t>2000-2006</t>
  </si>
  <si>
    <t>2006-2012</t>
  </si>
  <si>
    <t>What I Learned</t>
  </si>
  <si>
    <t>Fortran</t>
  </si>
  <si>
    <t>Strength of Materials, Automotive engineering, chassis design, millwright techniques, welding and brazing, working with fiberglass</t>
  </si>
  <si>
    <t>PC board design and fabrication, audio circuits</t>
  </si>
  <si>
    <t>2000-2012</t>
  </si>
  <si>
    <t>Computer architecture research, technology and architecture, protocol design and analysis, high performance shared memory system design</t>
  </si>
  <si>
    <t>2005-2012</t>
  </si>
  <si>
    <t>Advanced server memory systems, solid state storage and scalable servers</t>
  </si>
  <si>
    <t>Audio recording and production, vintage audio gear, recording consoles</t>
  </si>
  <si>
    <t>Professional audio design and analysis, vacuum tube and hybrid, signal quality and noise analysis,  microphone amplifiers and signal compressors, design and production</t>
  </si>
  <si>
    <t xml:space="preserve">Software development for PC systems, </t>
  </si>
  <si>
    <t>Numerical techniques for graph analysis and network reduction</t>
  </si>
  <si>
    <t>Basic electronic,s analog, audio and TV circuts, color TV repair, audio amplifier and radio work</t>
  </si>
  <si>
    <t>1977-1980</t>
  </si>
  <si>
    <t>Electrical Systems</t>
  </si>
  <si>
    <t xml:space="preserve">Residential, commercial, and indistrial electrical systems, low voltage (480V), technical work, installation, and maintenance. Generators, motor controls, and switchgear to ~1000 KW, offshore </t>
  </si>
  <si>
    <t>1980-1985</t>
  </si>
  <si>
    <t>Process controls and instrumentation, safety systems, rigorous testing methods, field experience, product design, PLC and digital systems, large scale systems</t>
  </si>
  <si>
    <t>Platform Electrician,  industrial control systems, mechanical systems, refrigeration and air handling, water pumping,</t>
  </si>
  <si>
    <t>2012-2020</t>
  </si>
  <si>
    <t>Internet of Things, embedded software, APIs and communication protocols, standardization, semantic interoperability</t>
  </si>
  <si>
    <t xml:space="preserve">Radial inflow (centripetal) design from the paper </t>
  </si>
  <si>
    <t xml:space="preserve">3-D Modeling of Gas–Solid Two-Phase Flow in a Pi-Shaped Centripetal Radial Flow Adsorber </t>
  </si>
  <si>
    <t>550W  2.8A</t>
  </si>
  <si>
    <t>CFM FA</t>
  </si>
  <si>
    <t>CFM net</t>
  </si>
  <si>
    <t>200 lpm</t>
  </si>
  <si>
    <t>2680N50</t>
  </si>
  <si>
    <t>2680 2:1</t>
  </si>
  <si>
    <t>Convection</t>
  </si>
  <si>
    <t>Airflow over a surface</t>
  </si>
  <si>
    <r>
      <t>q = h</t>
    </r>
    <r>
      <rPr>
        <i/>
        <vertAlign val="subscript"/>
        <sz val="14"/>
        <color rgb="FF000000"/>
        <rFont val="Arial"/>
        <family val="2"/>
      </rPr>
      <t>c</t>
    </r>
    <r>
      <rPr>
        <i/>
        <sz val="14"/>
        <color rgb="FF000000"/>
        <rFont val="Arial"/>
        <family val="2"/>
      </rPr>
      <t> A dT</t>
    </r>
  </si>
  <si>
    <t>Newton's equation for convective heat transfer</t>
  </si>
  <si>
    <r>
      <t>h</t>
    </r>
    <r>
      <rPr>
        <i/>
        <vertAlign val="subscript"/>
        <sz val="14"/>
        <color rgb="FF000000"/>
        <rFont val="Arial"/>
        <family val="2"/>
      </rPr>
      <t>cW</t>
    </r>
    <r>
      <rPr>
        <i/>
        <sz val="14"/>
        <color rgb="FF000000"/>
        <rFont val="Arial"/>
        <family val="2"/>
      </rPr>
      <t> = 12.12 - 1.16 v + 11.6 v</t>
    </r>
    <r>
      <rPr>
        <i/>
        <vertAlign val="superscript"/>
        <sz val="14"/>
        <color rgb="FF000000"/>
        <rFont val="Arial"/>
        <family val="2"/>
      </rPr>
      <t>1/2</t>
    </r>
  </si>
  <si>
    <t>https://www.engineeringtoolbox.com/convective-heat-transfer-d_430.html</t>
  </si>
  <si>
    <t>hc</t>
  </si>
  <si>
    <t>internal air</t>
  </si>
  <si>
    <t>surface</t>
  </si>
  <si>
    <t>sccm/sec</t>
  </si>
  <si>
    <t>accm/Sec</t>
  </si>
  <si>
    <t>Finned split tube exchanger</t>
  </si>
  <si>
    <t xml:space="preserve">cm </t>
  </si>
  <si>
    <t>m^2</t>
  </si>
  <si>
    <t>q</t>
  </si>
  <si>
    <t>W</t>
  </si>
  <si>
    <t>Radiator convoluted fin tube</t>
  </si>
  <si>
    <t>Length</t>
  </si>
  <si>
    <t>Volume</t>
  </si>
  <si>
    <t>Section Area</t>
  </si>
  <si>
    <t>surface area</t>
  </si>
  <si>
    <t>W/m^2*C</t>
  </si>
  <si>
    <t>slpm</t>
  </si>
  <si>
    <t>Flow rate</t>
  </si>
  <si>
    <t>Pressure</t>
  </si>
  <si>
    <t>Volumetric</t>
  </si>
  <si>
    <t>Velocity</t>
  </si>
  <si>
    <t>Bed weight</t>
  </si>
  <si>
    <t>N2 adsorbed</t>
  </si>
  <si>
    <t>Air rate</t>
  </si>
  <si>
    <t>N2 Rate</t>
  </si>
  <si>
    <t>N2 ads time</t>
  </si>
  <si>
    <t>minutes</t>
  </si>
  <si>
    <t>seconds</t>
  </si>
  <si>
    <t>O2 volume</t>
  </si>
  <si>
    <t>Desorb rate</t>
  </si>
  <si>
    <t>i/min</t>
  </si>
  <si>
    <t>Desorb time</t>
  </si>
  <si>
    <t>Cycle time</t>
  </si>
  <si>
    <t>Product rate</t>
  </si>
  <si>
    <t>good ratio</t>
  </si>
  <si>
    <t>50/50</t>
  </si>
  <si>
    <t>big pump</t>
  </si>
  <si>
    <t>10CFM</t>
  </si>
  <si>
    <t>tester</t>
  </si>
  <si>
    <t>4" Li-X</t>
  </si>
  <si>
    <t>6" 1Li:3Na</t>
  </si>
  <si>
    <t>3" LiNaX 1:1</t>
  </si>
  <si>
    <t>PSA</t>
  </si>
  <si>
    <t>big p 1:3</t>
  </si>
  <si>
    <t>30 row exchanger</t>
  </si>
  <si>
    <t>40 row exchanger</t>
  </si>
  <si>
    <t>O2 Backpressure regulator</t>
  </si>
  <si>
    <t>Sentry</t>
  </si>
  <si>
    <t>Tesco -501</t>
  </si>
  <si>
    <t>Conoflow</t>
  </si>
  <si>
    <t>Generant</t>
  </si>
  <si>
    <t>disp</t>
  </si>
  <si>
    <t>rpm</t>
  </si>
  <si>
    <t>Demo 20-30 lpm @550W</t>
  </si>
  <si>
    <t>Demo 50-60 lpm @1100W</t>
  </si>
  <si>
    <t>Demo U-tube 3/4 HP + AMR</t>
  </si>
  <si>
    <t>carryover</t>
  </si>
  <si>
    <t>output duty</t>
  </si>
  <si>
    <t>output time</t>
  </si>
  <si>
    <t>100 lpm each</t>
  </si>
  <si>
    <t>3.3 cfm ZW280</t>
  </si>
  <si>
    <t>pump eff</t>
  </si>
  <si>
    <t>psig</t>
  </si>
  <si>
    <t>st. disp</t>
  </si>
  <si>
    <t>HP</t>
  </si>
  <si>
    <t>kw</t>
  </si>
  <si>
    <t>Prototype pdc scenarios</t>
  </si>
  <si>
    <t>Nstages</t>
  </si>
  <si>
    <t>Ref. MonoColumn VPSA, same bed and pump as O24U</t>
  </si>
  <si>
    <t>8x36</t>
  </si>
  <si>
    <t>1 pump slices</t>
  </si>
  <si>
    <t>kg zeolite</t>
  </si>
  <si>
    <t>$/kg</t>
  </si>
  <si>
    <t>Backpressure regulator</t>
  </si>
  <si>
    <t>Column HW (Spools, endcaps, clamps, filter plates)</t>
  </si>
  <si>
    <t>Structural (Skid + rack )</t>
  </si>
  <si>
    <t>column</t>
  </si>
  <si>
    <t>wiring, air+ vacuum  line</t>
  </si>
  <si>
    <t>1/4 Scale POC</t>
  </si>
  <si>
    <t>First product</t>
  </si>
  <si>
    <t>build cost</t>
  </si>
  <si>
    <t>Fairchild 66BP</t>
  </si>
  <si>
    <t>P25</t>
  </si>
  <si>
    <t>P100</t>
  </si>
  <si>
    <t>VFD</t>
  </si>
  <si>
    <t>PDP</t>
  </si>
  <si>
    <t xml:space="preserve">Motor + coupling </t>
  </si>
  <si>
    <t>3x48, 6x24</t>
  </si>
  <si>
    <t>lpm produced</t>
  </si>
  <si>
    <t>Air pump lpm displacement</t>
  </si>
  <si>
    <t>early models dual pump share</t>
  </si>
  <si>
    <t>Zeolite cost</t>
  </si>
  <si>
    <t>Dryer</t>
  </si>
  <si>
    <t>25+ lpm mixed media</t>
  </si>
  <si>
    <t>25+ lpm Li-X</t>
  </si>
  <si>
    <t>100 lpm Li-X</t>
  </si>
  <si>
    <t>Skid</t>
  </si>
  <si>
    <t>Solenoid Valves</t>
  </si>
  <si>
    <t>Sensors + Controller</t>
  </si>
  <si>
    <t>Column + valves</t>
  </si>
  <si>
    <t>O24U</t>
  </si>
  <si>
    <t>Cooler</t>
  </si>
  <si>
    <t>Structural (Rack + Base + Panels )</t>
  </si>
  <si>
    <t>Coalescer + post FIlter</t>
  </si>
  <si>
    <t>PSA Solenoid Valves</t>
  </si>
  <si>
    <t>Gauges and flowmeters</t>
  </si>
  <si>
    <t>fittings, tubing, wiring</t>
  </si>
  <si>
    <t>TSA Dryer (Columns, Valves, Heater)</t>
  </si>
  <si>
    <t>50 lpm Li-X</t>
  </si>
  <si>
    <t>20+ lpm Li-X</t>
  </si>
  <si>
    <t>tanks</t>
  </si>
  <si>
    <t>Vmt</t>
  </si>
  <si>
    <t>kcm/min</t>
  </si>
  <si>
    <t>Bed Util</t>
  </si>
  <si>
    <t>Column Dia</t>
  </si>
  <si>
    <t>Column area</t>
  </si>
  <si>
    <t>scfh</t>
  </si>
  <si>
    <t xml:space="preserve">in. </t>
  </si>
  <si>
    <t xml:space="preserve">scfh </t>
  </si>
  <si>
    <t>zw280</t>
  </si>
  <si>
    <t>Ilmvac</t>
  </si>
  <si>
    <t>120 lpm</t>
  </si>
  <si>
    <t>2585b</t>
  </si>
  <si>
    <t>22mm</t>
  </si>
  <si>
    <t>23mm</t>
  </si>
  <si>
    <t>measurement</t>
  </si>
  <si>
    <t>V-112</t>
  </si>
  <si>
    <t>V-122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</si>
</sst>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0"/>
    <numFmt numFmtId="166" formatCode="0.000"/>
    <numFmt numFmtId="167" formatCode="0.0000"/>
    <numFmt numFmtId="168" formatCode="0.0000000"/>
    <numFmt numFmtId="169" formatCode="0.00000000"/>
    <numFmt numFmtId="170" formatCode="0.0%"/>
  </numFmts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4"/>
      <color rgb="FF000000"/>
      <name val="Arial"/>
      <family val="2"/>
    </font>
    <font>
      <i/>
      <vertAlign val="subscript"/>
      <sz val="14"/>
      <color rgb="FF000000"/>
      <name val="Arial"/>
      <family val="2"/>
    </font>
    <font>
      <i/>
      <vertAlign val="superscript"/>
      <sz val="14"/>
      <color rgb="FF000000"/>
      <name val="Arial"/>
      <family val="2"/>
    </font>
    <font>
      <i/>
      <sz val="14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darkUp">
        <fgColor theme="5" tint="0.79998168889431442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5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right"/>
    </xf>
    <xf numFmtId="16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  <xf numFmtId="169" fontId="0" fillId="0" borderId="0" xfId="0" applyNumberFormat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0" fillId="5" borderId="0" xfId="0" applyFill="1"/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3" fillId="0" borderId="8" xfId="0" applyFont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Fon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4" xfId="0" applyFont="1" applyBorder="1" applyAlignment="1">
      <alignment horizontal="center"/>
    </xf>
    <xf numFmtId="0" fontId="0" fillId="0" borderId="0" xfId="0" applyFill="1"/>
    <xf numFmtId="0" fontId="5" fillId="0" borderId="0" xfId="0" applyFont="1"/>
    <xf numFmtId="0" fontId="6" fillId="0" borderId="0" xfId="0" applyFont="1"/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2" xfId="0" applyFont="1" applyBorder="1"/>
    <xf numFmtId="0" fontId="8" fillId="0" borderId="0" xfId="0" applyFont="1"/>
    <xf numFmtId="0" fontId="11" fillId="0" borderId="0" xfId="0" applyFont="1"/>
    <xf numFmtId="170" fontId="0" fillId="0" borderId="0" xfId="7" applyNumberFormat="1" applyFont="1"/>
    <xf numFmtId="170" fontId="0" fillId="7" borderId="0" xfId="7" applyNumberFormat="1" applyFont="1" applyFill="1"/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14" xfId="0" applyNumberFormat="1" applyBorder="1"/>
    <xf numFmtId="0" fontId="0" fillId="8" borderId="0" xfId="0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164" fontId="0" fillId="8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4" fillId="11" borderId="0" xfId="0" applyFont="1" applyFill="1"/>
    <xf numFmtId="0" fontId="4" fillId="12" borderId="0" xfId="0" applyFont="1" applyFill="1"/>
    <xf numFmtId="0" fontId="0" fillId="13" borderId="0" xfId="0" applyFill="1"/>
    <xf numFmtId="0" fontId="0" fillId="14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Border="1"/>
    <xf numFmtId="0" fontId="0" fillId="2" borderId="3" xfId="0" applyFill="1" applyBorder="1"/>
    <xf numFmtId="0" fontId="0" fillId="9" borderId="3" xfId="0" applyFill="1" applyBorder="1"/>
    <xf numFmtId="0" fontId="4" fillId="11" borderId="3" xfId="0" applyFont="1" applyFill="1" applyBorder="1"/>
    <xf numFmtId="49" fontId="0" fillId="0" borderId="2" xfId="0" applyNumberFormat="1" applyBorder="1"/>
    <xf numFmtId="0" fontId="0" fillId="0" borderId="15" xfId="0" applyBorder="1"/>
    <xf numFmtId="0" fontId="0" fillId="2" borderId="0" xfId="0" applyFill="1" applyBorder="1"/>
    <xf numFmtId="0" fontId="0" fillId="9" borderId="0" xfId="0" applyFill="1" applyBorder="1"/>
    <xf numFmtId="0" fontId="4" fillId="12" borderId="0" xfId="0" applyFont="1" applyFill="1" applyBorder="1"/>
    <xf numFmtId="49" fontId="0" fillId="0" borderId="16" xfId="0" applyNumberFormat="1" applyBorder="1"/>
    <xf numFmtId="0" fontId="0" fillId="13" borderId="0" xfId="0" applyFill="1" applyBorder="1"/>
    <xf numFmtId="0" fontId="0" fillId="14" borderId="0" xfId="0" applyFill="1" applyBorder="1"/>
    <xf numFmtId="0" fontId="0" fillId="10" borderId="0" xfId="0" applyFill="1" applyBorder="1"/>
    <xf numFmtId="0" fontId="0" fillId="0" borderId="5" xfId="0" applyBorder="1"/>
    <xf numFmtId="49" fontId="0" fillId="0" borderId="7" xfId="0" applyNumberFormat="1" applyBorder="1"/>
    <xf numFmtId="0" fontId="0" fillId="0" borderId="2" xfId="0" applyBorder="1"/>
    <xf numFmtId="0" fontId="0" fillId="0" borderId="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15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13" borderId="0" xfId="0" applyNumberFormat="1" applyFill="1" applyAlignment="1">
      <alignment horizontal="center"/>
    </xf>
    <xf numFmtId="2" fontId="0" fillId="13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9" fontId="0" fillId="13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13" borderId="18" xfId="0" applyFill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164" fontId="0" fillId="9" borderId="0" xfId="0" applyNumberFormat="1" applyFill="1" applyAlignment="1">
      <alignment horizontal="center"/>
    </xf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  <cellStyle name="Percent" xfId="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Compressor!$C$84</c:f>
              <c:strCache>
                <c:ptCount val="1"/>
                <c:pt idx="0">
                  <c:v>15 psig/vac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Compressor!$D$83:$M$83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Compressor!$D$84:$M$84</c:f>
              <c:numCache>
                <c:formatCode>0.00</c:formatCode>
                <c:ptCount val="10"/>
                <c:pt idx="0">
                  <c:v>9.3320000863813979E-2</c:v>
                </c:pt>
                <c:pt idx="1">
                  <c:v>0.18664000172762796</c:v>
                </c:pt>
                <c:pt idx="2">
                  <c:v>0.27996000259144199</c:v>
                </c:pt>
                <c:pt idx="3">
                  <c:v>0.37328000345525592</c:v>
                </c:pt>
                <c:pt idx="4">
                  <c:v>0.46660000431906989</c:v>
                </c:pt>
                <c:pt idx="5">
                  <c:v>0.55992000518288398</c:v>
                </c:pt>
                <c:pt idx="6">
                  <c:v>0.65324000604669774</c:v>
                </c:pt>
                <c:pt idx="7">
                  <c:v>0.74656000691051183</c:v>
                </c:pt>
                <c:pt idx="8">
                  <c:v>0.83988000777432581</c:v>
                </c:pt>
                <c:pt idx="9">
                  <c:v>0.93320000863813979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5-9440-9217-CF589E7E4D8E}"/>
            </c:ext>
          </c:extLst>
        </c:ser>
        <c:ser>
          <c:idx val="1"/>
          <c:order val="1"/>
          <c:tx>
            <c:strRef>
              <c:f>Compressor!$C$85</c:f>
              <c:strCache>
                <c:ptCount val="1"/>
                <c:pt idx="0">
                  <c:v>25 psig/vpsa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Compressor!$D$83:$M$83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Compressor!$D$85:$M$85</c:f>
              <c:numCache>
                <c:formatCode>0.00</c:formatCode>
                <c:ptCount val="10"/>
                <c:pt idx="0">
                  <c:v>0.12746090107900782</c:v>
                </c:pt>
                <c:pt idx="1">
                  <c:v>0.25492180215801563</c:v>
                </c:pt>
                <c:pt idx="2">
                  <c:v>0.38238270323702345</c:v>
                </c:pt>
                <c:pt idx="3">
                  <c:v>0.50984360431603126</c:v>
                </c:pt>
                <c:pt idx="4">
                  <c:v>0.63730450539503902</c:v>
                </c:pt>
                <c:pt idx="5">
                  <c:v>0.76476540647404689</c:v>
                </c:pt>
                <c:pt idx="6">
                  <c:v>0.89222630755305454</c:v>
                </c:pt>
                <c:pt idx="7">
                  <c:v>1.0196872086320625</c:v>
                </c:pt>
                <c:pt idx="8">
                  <c:v>1.1471481097110705</c:v>
                </c:pt>
                <c:pt idx="9">
                  <c:v>1.274609010790078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5-9440-9217-CF589E7E4D8E}"/>
            </c:ext>
          </c:extLst>
        </c:ser>
        <c:ser>
          <c:idx val="2"/>
          <c:order val="2"/>
          <c:tx>
            <c:strRef>
              <c:f>Compressor!$C$86</c:f>
              <c:strCache>
                <c:ptCount val="1"/>
                <c:pt idx="0">
                  <c:v>40 psig/psa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Compressor!$D$83:$M$83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Compressor!$D$86:$M$86</c:f>
              <c:numCache>
                <c:formatCode>0.00</c:formatCode>
                <c:ptCount val="10"/>
                <c:pt idx="0">
                  <c:v>0.15701341401709007</c:v>
                </c:pt>
                <c:pt idx="1">
                  <c:v>0.31402682803418014</c:v>
                </c:pt>
                <c:pt idx="2">
                  <c:v>0.47104024205127021</c:v>
                </c:pt>
                <c:pt idx="3">
                  <c:v>0.62805365606836028</c:v>
                </c:pt>
                <c:pt idx="4">
                  <c:v>0.78506707008545029</c:v>
                </c:pt>
                <c:pt idx="5">
                  <c:v>0.94208048410254042</c:v>
                </c:pt>
                <c:pt idx="6">
                  <c:v>1.0990938981196303</c:v>
                </c:pt>
                <c:pt idx="7">
                  <c:v>1.2561073121367206</c:v>
                </c:pt>
                <c:pt idx="8">
                  <c:v>1.4131207261538106</c:v>
                </c:pt>
                <c:pt idx="9">
                  <c:v>1.5701341401709006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5-9440-9217-CF589E7E4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8351"/>
        <c:axId val="19640031"/>
      </c:lineChart>
      <c:catAx>
        <c:axId val="1963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SCFM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0031"/>
        <c:crosses val="autoZero"/>
        <c:auto val="1"/>
        <c:lblAlgn val="ctr"/>
        <c:lblOffset val="100"/>
        <c:noMultiLvlLbl val="0"/>
      </c:catAx>
      <c:valAx>
        <c:axId val="196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POC Build Cost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31-E64F-A14E-D71BBD7859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31-E64F-A14E-D71BBD7859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31-E64F-A14E-D71BBD7859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931-E64F-A14E-D71BBD7859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BOMcost!$A$27:$A$30</c:f>
              <c:strCache>
                <c:ptCount val="4"/>
                <c:pt idx="0">
                  <c:v>Compressor</c:v>
                </c:pt>
                <c:pt idx="1">
                  <c:v>Dryer</c:v>
                </c:pt>
                <c:pt idx="2">
                  <c:v>Column + valves</c:v>
                </c:pt>
                <c:pt idx="3">
                  <c:v>Skid</c:v>
                </c:pt>
              </c:strCache>
            </c:strRef>
          </c:cat>
          <c:val>
            <c:numRef>
              <c:f>BOMcost!$B$27:$B$30</c:f>
              <c:numCache>
                <c:formatCode>General</c:formatCode>
                <c:ptCount val="4"/>
                <c:pt idx="0">
                  <c:v>820</c:v>
                </c:pt>
                <c:pt idx="1">
                  <c:v>250</c:v>
                </c:pt>
                <c:pt idx="2">
                  <c:v>1275</c:v>
                </c:pt>
                <c:pt idx="3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C-5D4D-BD1D-9091328616D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Compressor!$E$102</c:f>
              <c:strCache>
                <c:ptCount val="1"/>
                <c:pt idx="0">
                  <c:v>120 lpm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Compressor!$D$103:$D$106</c:f>
              <c:numCache>
                <c:formatCode>General</c:formatCode>
                <c:ptCount val="4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</c:numCache>
            </c:numRef>
          </c:xVal>
          <c:yVal>
            <c:numRef>
              <c:f>Compressor!$E$103:$E$106</c:f>
              <c:numCache>
                <c:formatCode>0.0</c:formatCode>
                <c:ptCount val="4"/>
                <c:pt idx="0">
                  <c:v>117.91666666666667</c:v>
                </c:pt>
                <c:pt idx="1">
                  <c:v>94.333333333333343</c:v>
                </c:pt>
                <c:pt idx="2">
                  <c:v>70.75</c:v>
                </c:pt>
                <c:pt idx="3">
                  <c:v>56.6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F6-3441-B40C-236BB90E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729439"/>
        <c:axId val="2001498239"/>
      </c:scatterChart>
      <c:valAx>
        <c:axId val="200172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98239"/>
        <c:crosses val="autoZero"/>
        <c:crossBetween val="midCat"/>
      </c:valAx>
      <c:valAx>
        <c:axId val="20014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72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Compressor!$E$115</c:f>
              <c:strCache>
                <c:ptCount val="1"/>
                <c:pt idx="0">
                  <c:v>2585b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Compressor!$D$116:$D$119</c:f>
              <c:numCache>
                <c:formatCode>General</c:formatCode>
                <c:ptCount val="4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</c:numCache>
            </c:numRef>
          </c:xVal>
          <c:yVal>
            <c:numRef>
              <c:f>Compressor!$E$116:$E$119</c:f>
              <c:numCache>
                <c:formatCode>0.0</c:formatCode>
                <c:ptCount val="4"/>
                <c:pt idx="0">
                  <c:v>202.81666666666669</c:v>
                </c:pt>
                <c:pt idx="1">
                  <c:v>183.95000000000002</c:v>
                </c:pt>
                <c:pt idx="2">
                  <c:v>160.36666666666667</c:v>
                </c:pt>
                <c:pt idx="3">
                  <c:v>146.21666666666667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D-DA49-A448-2F6F9C743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279775"/>
        <c:axId val="2009719583"/>
      </c:scatterChart>
      <c:valAx>
        <c:axId val="190127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719583"/>
        <c:crosses val="autoZero"/>
        <c:crossBetween val="midCat"/>
      </c:valAx>
      <c:valAx>
        <c:axId val="200971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27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Compressor!$E$109</c:f>
              <c:strCache>
                <c:ptCount val="1"/>
                <c:pt idx="0">
                  <c:v>zw280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Compressor!$D$110:$D$113</c:f>
              <c:numCache>
                <c:formatCode>General</c:formatCode>
                <c:ptCount val="4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</c:numCache>
            </c:numRef>
          </c:xVal>
          <c:yVal>
            <c:numRef>
              <c:f>Compressor!$E$110:$E$113</c:f>
              <c:numCache>
                <c:formatCode>0.0</c:formatCode>
                <c:ptCount val="4"/>
                <c:pt idx="0">
                  <c:v>103.76666666666667</c:v>
                </c:pt>
                <c:pt idx="1">
                  <c:v>80.183333333333337</c:v>
                </c:pt>
                <c:pt idx="2">
                  <c:v>70.75</c:v>
                </c:pt>
                <c:pt idx="3">
                  <c:v>56.6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4-F441-9BC5-EA7BFC71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738207"/>
        <c:axId val="1998068847"/>
      </c:scatterChart>
      <c:valAx>
        <c:axId val="199973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68847"/>
        <c:crosses val="autoZero"/>
        <c:crossBetween val="midCat"/>
      </c:valAx>
      <c:valAx>
        <c:axId val="19980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3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Compressor!$M$102</c:f>
              <c:strCache>
                <c:ptCount val="1"/>
                <c:pt idx="0">
                  <c:v>120 lpm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Compressor!$L$103:$L$108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19</c:v>
                </c:pt>
                <c:pt idx="4">
                  <c:v>23</c:v>
                </c:pt>
                <c:pt idx="5">
                  <c:v>26.5</c:v>
                </c:pt>
              </c:numCache>
            </c:numRef>
          </c:xVal>
          <c:yVal>
            <c:numRef>
              <c:f>Compressor!$M$103:$M$108</c:f>
              <c:numCache>
                <c:formatCode>0.0</c:formatCode>
                <c:ptCount val="6"/>
                <c:pt idx="0">
                  <c:v>103.76666666666667</c:v>
                </c:pt>
                <c:pt idx="1">
                  <c:v>94.333333333333343</c:v>
                </c:pt>
                <c:pt idx="2">
                  <c:v>70.75</c:v>
                </c:pt>
                <c:pt idx="3">
                  <c:v>47.166666666666671</c:v>
                </c:pt>
                <c:pt idx="4">
                  <c:v>23.583333333333336</c:v>
                </c:pt>
                <c:pt idx="5">
                  <c:v>2.3583333333333334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75-C64A-83DF-1DF1DA8BB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033119"/>
        <c:axId val="2005726207"/>
      </c:scatterChart>
      <c:valAx>
        <c:axId val="199203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6207"/>
        <c:crosses val="autoZero"/>
        <c:crossBetween val="midCat"/>
      </c:valAx>
      <c:valAx>
        <c:axId val="200572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3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Compressor!$M$110</c:f>
              <c:strCache>
                <c:ptCount val="1"/>
                <c:pt idx="0">
                  <c:v>zw280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Compressor!$L$111:$L$116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25</c:v>
                </c:pt>
              </c:numCache>
            </c:numRef>
          </c:xVal>
          <c:yVal>
            <c:numRef>
              <c:f>Compressor!$M$111:$M$116</c:f>
              <c:numCache>
                <c:formatCode>0.0</c:formatCode>
                <c:ptCount val="6"/>
                <c:pt idx="0">
                  <c:v>94.333333333333343</c:v>
                </c:pt>
                <c:pt idx="1">
                  <c:v>80.183333333333337</c:v>
                </c:pt>
                <c:pt idx="2">
                  <c:v>70.75</c:v>
                </c:pt>
                <c:pt idx="3">
                  <c:v>47.166666666666671</c:v>
                </c:pt>
                <c:pt idx="4">
                  <c:v>23.583333333333336</c:v>
                </c:pt>
                <c:pt idx="5">
                  <c:v>2.3583333333333334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81-324E-A1E1-6EBD44E58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033119"/>
        <c:axId val="2005762127"/>
      </c:scatterChart>
      <c:valAx>
        <c:axId val="199203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62127"/>
        <c:crosses val="autoZero"/>
        <c:crossBetween val="midCat"/>
      </c:valAx>
      <c:valAx>
        <c:axId val="2005762127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3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Compressor!$M$119</c:f>
              <c:strCache>
                <c:ptCount val="1"/>
                <c:pt idx="0">
                  <c:v>2585b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Compressor!$L$120:$L$127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13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25.5</c:v>
                </c:pt>
              </c:numCache>
            </c:numRef>
          </c:xVal>
          <c:yVal>
            <c:numRef>
              <c:f>Compressor!$M$120:$M$126</c:f>
              <c:numCache>
                <c:formatCode>0.0</c:formatCode>
                <c:ptCount val="7"/>
                <c:pt idx="0">
                  <c:v>160.36666666666667</c:v>
                </c:pt>
                <c:pt idx="1">
                  <c:v>141.5</c:v>
                </c:pt>
                <c:pt idx="2">
                  <c:v>117.91666666666667</c:v>
                </c:pt>
                <c:pt idx="3">
                  <c:v>94.333333333333343</c:v>
                </c:pt>
                <c:pt idx="4">
                  <c:v>70.75</c:v>
                </c:pt>
                <c:pt idx="5">
                  <c:v>47.166666666666671</c:v>
                </c:pt>
                <c:pt idx="6">
                  <c:v>23.583333333333336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08-134B-9A30-1050B87D0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033119"/>
        <c:axId val="1992062159"/>
      </c:scatterChart>
      <c:valAx>
        <c:axId val="199203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62159"/>
        <c:crosses val="autoZero"/>
        <c:crossBetween val="midCat"/>
      </c:valAx>
      <c:valAx>
        <c:axId val="19920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3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vs. pressure - 12 SCFM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Compressor!$D$152:$M$152</c:f>
              <c:numCache>
                <c:formatCode>General</c:formatCode>
                <c:ptCount val="10"/>
                <c:pt idx="0">
                  <c:v>7.5</c:v>
                </c:pt>
                <c:pt idx="1">
                  <c:v>15</c:v>
                </c:pt>
                <c:pt idx="2">
                  <c:v>22.5</c:v>
                </c:pt>
                <c:pt idx="3">
                  <c:v>30</c:v>
                </c:pt>
                <c:pt idx="4">
                  <c:v>37.5</c:v>
                </c:pt>
                <c:pt idx="5">
                  <c:v>45</c:v>
                </c:pt>
                <c:pt idx="6">
                  <c:v>52.5</c:v>
                </c:pt>
                <c:pt idx="7">
                  <c:v>60</c:v>
                </c:pt>
                <c:pt idx="8">
                  <c:v>67.5</c:v>
                </c:pt>
                <c:pt idx="9">
                  <c:v>75</c:v>
                </c:pt>
              </c:numCache>
            </c:numRef>
          </c:xVal>
          <c:yVal>
            <c:numRef>
              <c:f>Compressor!$D$153:$M$153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1-D04B-A1B3-4AE0A8FA4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681536"/>
        <c:axId val="26068321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Compressor!$D$152:$M$152</c:f>
              <c:numCache>
                <c:formatCode>General</c:formatCode>
                <c:ptCount val="10"/>
                <c:pt idx="0">
                  <c:v>7.5</c:v>
                </c:pt>
                <c:pt idx="1">
                  <c:v>15</c:v>
                </c:pt>
                <c:pt idx="2">
                  <c:v>22.5</c:v>
                </c:pt>
                <c:pt idx="3">
                  <c:v>30</c:v>
                </c:pt>
                <c:pt idx="4">
                  <c:v>37.5</c:v>
                </c:pt>
                <c:pt idx="5">
                  <c:v>45</c:v>
                </c:pt>
                <c:pt idx="6">
                  <c:v>52.5</c:v>
                </c:pt>
                <c:pt idx="7">
                  <c:v>60</c:v>
                </c:pt>
                <c:pt idx="8">
                  <c:v>67.5</c:v>
                </c:pt>
                <c:pt idx="9">
                  <c:v>75</c:v>
                </c:pt>
              </c:numCache>
            </c:numRef>
          </c:xVal>
          <c:yVal>
            <c:numRef>
              <c:f>Compressor!$D$154:$M$154</c:f>
              <c:numCache>
                <c:formatCode>0.000</c:formatCode>
                <c:ptCount val="10"/>
                <c:pt idx="0">
                  <c:v>0.33712604913023125</c:v>
                </c:pt>
                <c:pt idx="1">
                  <c:v>0.60069197283935516</c:v>
                </c:pt>
                <c:pt idx="2">
                  <c:v>0.8204537014606913</c:v>
                </c:pt>
                <c:pt idx="3">
                  <c:v>1.0106804174360096</c:v>
                </c:pt>
                <c:pt idx="4">
                  <c:v>1.1794362478117517</c:v>
                </c:pt>
                <c:pt idx="5">
                  <c:v>1.3317699643704257</c:v>
                </c:pt>
                <c:pt idx="6">
                  <c:v>1.4710735550143823</c:v>
                </c:pt>
                <c:pt idx="7">
                  <c:v>1.5997469879855344</c:v>
                </c:pt>
                <c:pt idx="8">
                  <c:v>1.7195570868807852</c:v>
                </c:pt>
                <c:pt idx="9">
                  <c:v>1.8318460987425669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71-D04B-A1B3-4AE0A8FA4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681536"/>
        <c:axId val="260683216"/>
      </c:scatterChart>
      <c:valAx>
        <c:axId val="26068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683216"/>
        <c:crosses val="autoZero"/>
        <c:crossBetween val="midCat"/>
      </c:valAx>
      <c:valAx>
        <c:axId val="2606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68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4127922051339"/>
          <c:y val="0.11776799775028121"/>
          <c:w val="0.78691494152485708"/>
          <c:h val="0.8108034308211473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D8-254D-9129-EEBADED661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D8-254D-9129-EEBADED661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5D8-254D-9129-EEBADED661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5D8-254D-9129-EEBADED661D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BOMcost!$A$27:$A$30</c:f>
              <c:strCache>
                <c:ptCount val="4"/>
                <c:pt idx="0">
                  <c:v>Compressor</c:v>
                </c:pt>
                <c:pt idx="1">
                  <c:v>Dryer</c:v>
                </c:pt>
                <c:pt idx="2">
                  <c:v>Column + valves</c:v>
                </c:pt>
                <c:pt idx="3">
                  <c:v>Skid</c:v>
                </c:pt>
              </c:strCache>
            </c:strRef>
          </c:cat>
          <c:val>
            <c:numRef>
              <c:f>BOMcost!$C$27:$C$30</c:f>
              <c:numCache>
                <c:formatCode>General</c:formatCode>
                <c:ptCount val="4"/>
                <c:pt idx="0">
                  <c:v>1300</c:v>
                </c:pt>
                <c:pt idx="1">
                  <c:v>1200</c:v>
                </c:pt>
                <c:pt idx="2">
                  <c:v>3100</c:v>
                </c:pt>
                <c:pt idx="3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9-D346-9DBA-8F3B3FD7D1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21</xdr:row>
      <xdr:rowOff>127000</xdr:rowOff>
    </xdr:from>
    <xdr:to>
      <xdr:col>1</xdr:col>
      <xdr:colOff>6261100</xdr:colOff>
      <xdr:row>51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2C2FB-0D3D-C14E-A243-910F6A7BB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146050</xdr:colOff>
      <xdr:row>97</xdr:row>
      <xdr:rowOff>88900</xdr:rowOff>
    </xdr:from>
    <xdr:to>
      <xdr:col>9</xdr:col>
      <xdr:colOff>431800</xdr:colOff>
      <xdr:row>110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408208-97A1-F140-BC3A-FA8380A7D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107950</xdr:colOff>
      <xdr:row>120</xdr:row>
      <xdr:rowOff>12700</xdr:rowOff>
    </xdr:from>
    <xdr:to>
      <xdr:col>5</xdr:col>
      <xdr:colOff>482600</xdr:colOff>
      <xdr:row>133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334EF5-0143-9C4B-AFBC-515602537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120650</xdr:colOff>
      <xdr:row>111</xdr:row>
      <xdr:rowOff>139700</xdr:rowOff>
    </xdr:from>
    <xdr:to>
      <xdr:col>9</xdr:col>
      <xdr:colOff>368300</xdr:colOff>
      <xdr:row>125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6B8ED7-F8D3-C041-9B06-4FD6C0EBC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654050</xdr:colOff>
      <xdr:row>99</xdr:row>
      <xdr:rowOff>152400</xdr:rowOff>
    </xdr:from>
    <xdr:to>
      <xdr:col>17</xdr:col>
      <xdr:colOff>241300</xdr:colOff>
      <xdr:row>113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F93019-7E38-2F46-A6D9-48A5D885D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781050</xdr:colOff>
      <xdr:row>115</xdr:row>
      <xdr:rowOff>101600</xdr:rowOff>
    </xdr:from>
    <xdr:to>
      <xdr:col>17</xdr:col>
      <xdr:colOff>584200</xdr:colOff>
      <xdr:row>129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45C260-D154-184F-A301-3B763256E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742950</xdr:colOff>
      <xdr:row>129</xdr:row>
      <xdr:rowOff>177800</xdr:rowOff>
    </xdr:from>
    <xdr:to>
      <xdr:col>13</xdr:col>
      <xdr:colOff>533400</xdr:colOff>
      <xdr:row>143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FE0395-83F9-5140-A2BC-468A7B742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361950</xdr:colOff>
      <xdr:row>159</xdr:row>
      <xdr:rowOff>76200</xdr:rowOff>
    </xdr:from>
    <xdr:to>
      <xdr:col>9</xdr:col>
      <xdr:colOff>806450</xdr:colOff>
      <xdr:row>172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DF9198-A363-A343-A187-AF5BE235B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584200</xdr:colOff>
      <xdr:row>1</xdr:row>
      <xdr:rowOff>190500</xdr:rowOff>
    </xdr:from>
    <xdr:to>
      <xdr:col>14</xdr:col>
      <xdr:colOff>635000</xdr:colOff>
      <xdr:row>20</xdr:row>
      <xdr:rowOff>139700</xdr:rowOff>
    </xdr:to>
    <xdr:pic>
      <xdr:nvPicPr>
        <xdr:cNvPr id="2" name="Picture 1" descr="Air - heat transfer coefficient">
          <a:extLst>
            <a:ext uri="{FF2B5EF4-FFF2-40B4-BE49-F238E27FC236}">
              <a16:creationId xmlns:a16="http://schemas.microsoft.com/office/drawing/2014/main" id="{640956A5-3713-4843-BD89-1EF21861B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393700"/>
          <a:ext cx="5829300" cy="439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0</xdr:row>
      <xdr:rowOff>101600</xdr:rowOff>
    </xdr:from>
    <xdr:to>
      <xdr:col>12</xdr:col>
      <xdr:colOff>165100</xdr:colOff>
      <xdr:row>18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2C832B-BD9A-544E-BAB2-B83370676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469900</xdr:colOff>
      <xdr:row>0</xdr:row>
      <xdr:rowOff>101600</xdr:rowOff>
    </xdr:from>
    <xdr:to>
      <xdr:col>7</xdr:col>
      <xdr:colOff>1397000</xdr:colOff>
      <xdr:row>18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DF979C-C986-8D4F-8D9A-790F8A282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575677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nwvalve.com/FNWValve/assets/images/PDFs/FNW/tech_AboutCv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178"/>
  <sheetViews>
    <sheetView topLeftCell="A78" zoomScale="114" workbookViewId="0">
      <selection activeCell="D80" sqref="D80"/>
    </sheetView>
  </sheetViews>
  <sheetFormatPr baseColWidth="10" defaultRowHeight="16"/>
  <cols>
    <col min="1" max="1" width="2.33203125" customWidth="1"/>
    <col min="2" max="2" width="6.6640625" customWidth="1"/>
    <col min="12" max="12" width="19.6640625" style="109" customWidth="1"/>
    <col min="13" max="13" width="13.33203125" customWidth="1"/>
    <col min="14" max="14" width="12.5" customWidth="1"/>
  </cols>
  <sheetData>
    <row r="2" spans="3:16">
      <c r="C2" s="3" t="s">
        <v>729</v>
      </c>
      <c r="D2" s="3" t="s">
        <v>725</v>
      </c>
      <c r="E2" s="3">
        <v>3.95</v>
      </c>
      <c r="J2">
        <v>0.63</v>
      </c>
      <c r="K2" t="s">
        <v>695</v>
      </c>
    </row>
    <row r="3" spans="3:16">
      <c r="C3" s="3" t="s">
        <v>728</v>
      </c>
      <c r="D3" s="3" t="s">
        <v>724</v>
      </c>
      <c r="E3" s="3">
        <v>0.7</v>
      </c>
      <c r="J3">
        <v>0.64</v>
      </c>
      <c r="K3" t="s">
        <v>3</v>
      </c>
    </row>
    <row r="4" spans="3:16">
      <c r="C4" s="3" t="s">
        <v>727</v>
      </c>
      <c r="D4" s="3" t="s">
        <v>726</v>
      </c>
      <c r="E4" s="3">
        <v>0.63</v>
      </c>
      <c r="G4" s="3" t="s">
        <v>698</v>
      </c>
      <c r="H4">
        <v>0.63</v>
      </c>
      <c r="I4" t="s">
        <v>4</v>
      </c>
      <c r="J4">
        <v>0.79</v>
      </c>
      <c r="K4" s="4" t="s">
        <v>8</v>
      </c>
    </row>
    <row r="6" spans="3:16">
      <c r="C6" t="s">
        <v>346</v>
      </c>
      <c r="D6" t="s">
        <v>347</v>
      </c>
      <c r="E6" t="s">
        <v>1</v>
      </c>
      <c r="F6" t="s">
        <v>2</v>
      </c>
      <c r="G6" t="s">
        <v>0</v>
      </c>
      <c r="H6" t="s">
        <v>348</v>
      </c>
      <c r="I6" s="3" t="s">
        <v>5</v>
      </c>
      <c r="J6" s="3" t="s">
        <v>6</v>
      </c>
      <c r="K6" s="3" t="s">
        <v>7</v>
      </c>
      <c r="M6" s="3" t="s">
        <v>735</v>
      </c>
    </row>
    <row r="7" spans="3:16">
      <c r="O7">
        <v>2.5</v>
      </c>
      <c r="P7">
        <v>10</v>
      </c>
    </row>
    <row r="8" spans="3:16">
      <c r="C8" s="26">
        <v>1.37</v>
      </c>
      <c r="D8" s="26">
        <v>12</v>
      </c>
      <c r="E8" s="28">
        <f t="shared" ref="E8:F11" si="0">C8*2.54</f>
        <v>3.4798000000000004</v>
      </c>
      <c r="F8" s="26">
        <f t="shared" si="0"/>
        <v>30.48</v>
      </c>
      <c r="G8" s="28">
        <f>PI() * (E8/2)^2 * F8 /1000</f>
        <v>0.28987676873951496</v>
      </c>
      <c r="H8" s="26">
        <v>1</v>
      </c>
      <c r="I8" s="28">
        <f>G8*H$4</f>
        <v>0.18262236430589443</v>
      </c>
      <c r="J8" s="28">
        <f t="shared" ref="J8" si="1">H8*I8</f>
        <v>0.18262236430589443</v>
      </c>
      <c r="K8" s="28">
        <f>J8*2.2</f>
        <v>0.4017692014729678</v>
      </c>
      <c r="L8" s="109" t="s">
        <v>785</v>
      </c>
      <c r="M8" s="1">
        <f>G8*(1-O$34)</f>
        <v>8.6963030621854495E-2</v>
      </c>
      <c r="O8" s="1">
        <f>J18/O7</f>
        <v>1.2823205520176646</v>
      </c>
      <c r="P8" s="1">
        <f>P7*O8</f>
        <v>12.823205520176646</v>
      </c>
    </row>
    <row r="9" spans="3:16">
      <c r="C9">
        <v>1.37</v>
      </c>
      <c r="D9">
        <v>18</v>
      </c>
      <c r="E9" s="1">
        <f t="shared" si="0"/>
        <v>3.4798000000000004</v>
      </c>
      <c r="F9">
        <f t="shared" si="0"/>
        <v>45.72</v>
      </c>
      <c r="G9" s="1">
        <f>PI() * (E9/2)^2 * F9 /1000</f>
        <v>0.43481515310927238</v>
      </c>
      <c r="H9">
        <v>1</v>
      </c>
      <c r="I9" s="1">
        <f>G9*H$4</f>
        <v>0.2739335464588416</v>
      </c>
      <c r="J9" s="1">
        <f>H9*I9</f>
        <v>0.2739335464588416</v>
      </c>
      <c r="K9" s="1">
        <f>J9*2.2</f>
        <v>0.60265380220945153</v>
      </c>
      <c r="M9" s="1">
        <f t="shared" ref="M9:M33" si="2">G9*(1-O$34)</f>
        <v>0.13044454593278174</v>
      </c>
    </row>
    <row r="10" spans="3:16">
      <c r="C10" s="26">
        <v>1.37</v>
      </c>
      <c r="D10" s="26">
        <v>25</v>
      </c>
      <c r="E10" s="28">
        <f t="shared" si="0"/>
        <v>3.4798000000000004</v>
      </c>
      <c r="F10" s="26">
        <f t="shared" si="0"/>
        <v>63.5</v>
      </c>
      <c r="G10" s="28">
        <f>PI() * (E10/2)^2 * F10 /1000</f>
        <v>0.60390993487398936</v>
      </c>
      <c r="H10" s="26">
        <v>1</v>
      </c>
      <c r="I10" s="28">
        <f>G10*H$4</f>
        <v>0.38046325897061328</v>
      </c>
      <c r="J10" s="28">
        <f t="shared" ref="J10" si="3">H10*I10</f>
        <v>0.38046325897061328</v>
      </c>
      <c r="K10" s="28">
        <f>J10*2.2</f>
        <v>0.83701916973534929</v>
      </c>
      <c r="L10" s="109" t="s">
        <v>786</v>
      </c>
      <c r="M10" s="1">
        <f t="shared" si="2"/>
        <v>0.18117298046219685</v>
      </c>
    </row>
    <row r="11" spans="3:16">
      <c r="C11">
        <v>1.37</v>
      </c>
      <c r="D11">
        <v>37</v>
      </c>
      <c r="E11" s="1">
        <f t="shared" si="0"/>
        <v>3.4798000000000004</v>
      </c>
      <c r="F11">
        <f t="shared" si="0"/>
        <v>93.98</v>
      </c>
      <c r="G11" s="2">
        <f>PI() * (E11/2)^2 * F11 /1000</f>
        <v>0.89378670361350443</v>
      </c>
      <c r="H11">
        <v>1</v>
      </c>
      <c r="I11" s="1">
        <f>G11*H$4</f>
        <v>0.5630856232765078</v>
      </c>
      <c r="J11" s="1">
        <f>H11*I11</f>
        <v>0.5630856232765078</v>
      </c>
      <c r="K11" s="1">
        <f>J11*2.2</f>
        <v>1.2387883712083172</v>
      </c>
      <c r="M11" s="1">
        <f t="shared" si="2"/>
        <v>0.26813601108405138</v>
      </c>
    </row>
    <row r="12" spans="3:16">
      <c r="E12" s="1"/>
      <c r="I12" s="1"/>
      <c r="M12" s="1"/>
    </row>
    <row r="13" spans="3:16">
      <c r="C13">
        <v>1.8720000000000001</v>
      </c>
      <c r="D13">
        <v>14</v>
      </c>
      <c r="E13" s="1">
        <f t="shared" ref="E13:F15" si="4">C13*2.54</f>
        <v>4.75488</v>
      </c>
      <c r="F13">
        <f t="shared" si="4"/>
        <v>35.56</v>
      </c>
      <c r="G13" s="2">
        <f>PI() * (E13/2)^2 * F13 /1000</f>
        <v>0.6314380603119677</v>
      </c>
      <c r="H13">
        <v>1</v>
      </c>
      <c r="I13" s="1">
        <f>G13*H$4</f>
        <v>0.39780597799653966</v>
      </c>
      <c r="J13" s="1">
        <f t="shared" ref="J13" si="5">H13*I13</f>
        <v>0.39780597799653966</v>
      </c>
      <c r="K13" s="1">
        <f>J13*2.2</f>
        <v>0.87517315159238729</v>
      </c>
      <c r="M13" s="1">
        <f t="shared" si="2"/>
        <v>0.18943141809359035</v>
      </c>
    </row>
    <row r="14" spans="3:16">
      <c r="C14">
        <v>1.8720000000000001</v>
      </c>
      <c r="D14">
        <v>20</v>
      </c>
      <c r="E14" s="1">
        <f t="shared" si="4"/>
        <v>4.75488</v>
      </c>
      <c r="F14">
        <f t="shared" si="4"/>
        <v>50.8</v>
      </c>
      <c r="G14" s="2">
        <f>PI() * (E14/2)^2 * F14 /1000</f>
        <v>0.90205437187423942</v>
      </c>
      <c r="H14">
        <v>1</v>
      </c>
      <c r="I14" s="1">
        <f>G14*H$4</f>
        <v>0.56829425428077085</v>
      </c>
      <c r="J14" s="1">
        <f t="shared" ref="J14" si="6">H14*I14</f>
        <v>0.56829425428077085</v>
      </c>
      <c r="K14" s="1">
        <f>J14*2.2</f>
        <v>1.2502473594176959</v>
      </c>
      <c r="L14" s="109" t="s">
        <v>784</v>
      </c>
      <c r="M14" s="1">
        <f t="shared" si="2"/>
        <v>0.27061631156227189</v>
      </c>
    </row>
    <row r="15" spans="3:16">
      <c r="C15">
        <v>1.8720000000000001</v>
      </c>
      <c r="D15">
        <v>26</v>
      </c>
      <c r="E15" s="1">
        <f t="shared" si="4"/>
        <v>4.75488</v>
      </c>
      <c r="F15">
        <f t="shared" si="4"/>
        <v>66.040000000000006</v>
      </c>
      <c r="G15" s="2">
        <f>PI() * (E15/2)^2 * F15 /1000</f>
        <v>1.1726706834365113</v>
      </c>
      <c r="H15">
        <v>1</v>
      </c>
      <c r="I15" s="1">
        <f>G15*H$4</f>
        <v>0.73878253056500209</v>
      </c>
      <c r="J15" s="1">
        <f t="shared" ref="J15" si="7">H15*I15</f>
        <v>0.73878253056500209</v>
      </c>
      <c r="K15" s="1">
        <f>J15*2.2</f>
        <v>1.6253215672430048</v>
      </c>
      <c r="M15" s="1">
        <f t="shared" si="2"/>
        <v>0.35180120503095341</v>
      </c>
      <c r="N15">
        <f>C9*25.4</f>
        <v>34.798000000000002</v>
      </c>
      <c r="O15">
        <f>24*60</f>
        <v>1440</v>
      </c>
      <c r="P15" t="s">
        <v>290</v>
      </c>
    </row>
    <row r="16" spans="3:16">
      <c r="E16" s="1"/>
      <c r="I16" s="1"/>
      <c r="M16" s="1"/>
    </row>
    <row r="17" spans="3:18">
      <c r="C17" s="26">
        <v>2.87</v>
      </c>
      <c r="D17" s="26">
        <v>20</v>
      </c>
      <c r="E17" s="28">
        <f t="shared" ref="E17:F19" si="8">C17*2.54</f>
        <v>7.2898000000000005</v>
      </c>
      <c r="F17" s="26">
        <f t="shared" si="8"/>
        <v>50.8</v>
      </c>
      <c r="G17" s="27">
        <f>PI() * (E17/2)^2 * F17 /1000</f>
        <v>2.1202390079657154</v>
      </c>
      <c r="H17" s="26">
        <v>2</v>
      </c>
      <c r="I17" s="28">
        <f>G17*H$4</f>
        <v>1.3357505750184007</v>
      </c>
      <c r="J17" s="28">
        <f>H17*I17</f>
        <v>2.6715011500368013</v>
      </c>
      <c r="K17" s="28">
        <f>J17*2.2</f>
        <v>5.8773025300809634</v>
      </c>
      <c r="L17" s="109" t="s">
        <v>696</v>
      </c>
      <c r="M17" s="1">
        <f t="shared" si="2"/>
        <v>0.63607170238971467</v>
      </c>
      <c r="O17">
        <v>1000</v>
      </c>
      <c r="P17" t="s">
        <v>291</v>
      </c>
    </row>
    <row r="18" spans="3:18">
      <c r="C18" s="26">
        <v>2.87</v>
      </c>
      <c r="D18" s="26">
        <v>24</v>
      </c>
      <c r="E18" s="28">
        <f t="shared" si="8"/>
        <v>7.2898000000000005</v>
      </c>
      <c r="F18" s="26">
        <f t="shared" si="8"/>
        <v>60.96</v>
      </c>
      <c r="G18" s="27">
        <f>PI() * (E18/2)^2 * F18 /1000</f>
        <v>2.5442868095588582</v>
      </c>
      <c r="H18" s="26">
        <v>2</v>
      </c>
      <c r="I18" s="28">
        <f>G18*H$4</f>
        <v>1.6029006900220808</v>
      </c>
      <c r="J18" s="28">
        <f>H18*I18</f>
        <v>3.2058013800441616</v>
      </c>
      <c r="K18" s="28">
        <f>J18*2.2</f>
        <v>7.052763036097156</v>
      </c>
      <c r="L18" s="109" t="s">
        <v>697</v>
      </c>
      <c r="M18" s="1">
        <f t="shared" si="2"/>
        <v>0.76328604286765755</v>
      </c>
    </row>
    <row r="19" spans="3:18">
      <c r="C19" s="26">
        <v>2.87</v>
      </c>
      <c r="D19" s="26">
        <v>38</v>
      </c>
      <c r="E19" s="28">
        <f t="shared" si="8"/>
        <v>7.2898000000000005</v>
      </c>
      <c r="F19" s="26">
        <f t="shared" si="8"/>
        <v>96.52</v>
      </c>
      <c r="G19" s="27">
        <f>PI() * (E19/2)^2 * F19 /1000</f>
        <v>4.028454115134859</v>
      </c>
      <c r="H19" s="26">
        <v>2</v>
      </c>
      <c r="I19" s="28">
        <f>G19*H$4</f>
        <v>2.5379260925349612</v>
      </c>
      <c r="J19" s="28">
        <f>H19*I19</f>
        <v>5.0758521850699223</v>
      </c>
      <c r="K19" s="28">
        <f>J19*2.2</f>
        <v>11.16687480715383</v>
      </c>
      <c r="M19" s="1">
        <f t="shared" si="2"/>
        <v>1.2085362345404578</v>
      </c>
      <c r="O19">
        <v>20</v>
      </c>
      <c r="P19" t="s">
        <v>292</v>
      </c>
    </row>
    <row r="20" spans="3:18">
      <c r="E20" s="1"/>
      <c r="I20" s="1"/>
      <c r="M20" s="1"/>
      <c r="O20" s="2">
        <f>O19/O15*O17</f>
        <v>13.888888888888888</v>
      </c>
      <c r="P20" t="s">
        <v>17</v>
      </c>
    </row>
    <row r="21" spans="3:18">
      <c r="C21">
        <v>3.37</v>
      </c>
      <c r="D21">
        <v>10</v>
      </c>
      <c r="E21" s="1">
        <f t="shared" ref="E21:F22" si="9">C21*2.54</f>
        <v>8.559800000000001</v>
      </c>
      <c r="F21">
        <f t="shared" si="9"/>
        <v>25.4</v>
      </c>
      <c r="G21" s="2">
        <f>PI() * (E21/2)^2 * F21 /1000</f>
        <v>1.4616750470180424</v>
      </c>
      <c r="H21">
        <v>1</v>
      </c>
      <c r="I21" s="1">
        <f>G21*H$4</f>
        <v>0.92085527962136671</v>
      </c>
      <c r="J21" s="1">
        <f>H21*I21</f>
        <v>0.92085527962136671</v>
      </c>
      <c r="K21" s="1">
        <f>J21*2.2</f>
        <v>2.0258816151670067</v>
      </c>
      <c r="M21" s="1">
        <f t="shared" si="2"/>
        <v>0.4385025141054128</v>
      </c>
    </row>
    <row r="22" spans="3:18">
      <c r="C22" s="26">
        <v>3.37</v>
      </c>
      <c r="D22" s="26">
        <v>11</v>
      </c>
      <c r="E22" s="28">
        <f t="shared" si="9"/>
        <v>8.559800000000001</v>
      </c>
      <c r="F22" s="26">
        <f t="shared" si="9"/>
        <v>27.94</v>
      </c>
      <c r="G22" s="27">
        <f>PI() * (E22/2)^2 * F22 /1000</f>
        <v>1.6078425517198471</v>
      </c>
      <c r="H22" s="26">
        <v>1</v>
      </c>
      <c r="I22" s="28">
        <f>G22*H$4</f>
        <v>1.0129408075835038</v>
      </c>
      <c r="J22" s="28">
        <f>H22*I22</f>
        <v>1.0129408075835038</v>
      </c>
      <c r="K22" s="28">
        <f>J22*2.2</f>
        <v>2.2284697766837085</v>
      </c>
      <c r="L22" s="109" t="s">
        <v>372</v>
      </c>
      <c r="M22" s="1">
        <f t="shared" si="2"/>
        <v>0.48235276551595418</v>
      </c>
    </row>
    <row r="23" spans="3:18">
      <c r="E23" s="1"/>
      <c r="I23" s="1"/>
      <c r="M23" s="1"/>
    </row>
    <row r="24" spans="3:18">
      <c r="C24">
        <v>3.37</v>
      </c>
      <c r="D24">
        <v>20</v>
      </c>
      <c r="E24" s="1">
        <f>C24*2.54</f>
        <v>8.559800000000001</v>
      </c>
      <c r="F24">
        <f>D24*2.54</f>
        <v>50.8</v>
      </c>
      <c r="G24" s="2">
        <f>PI() * (E24/2)^2 * F24 /1000</f>
        <v>2.9233500940360848</v>
      </c>
      <c r="H24">
        <v>1</v>
      </c>
      <c r="I24" s="1">
        <f>G24*H$4</f>
        <v>1.8417105592427334</v>
      </c>
      <c r="J24" s="1">
        <f>H24*I24</f>
        <v>1.8417105592427334</v>
      </c>
      <c r="K24" s="1">
        <f>J24*2.2</f>
        <v>4.0517632303340134</v>
      </c>
      <c r="M24" s="1">
        <f t="shared" si="2"/>
        <v>0.8770050282108256</v>
      </c>
    </row>
    <row r="25" spans="3:18">
      <c r="C25" s="26">
        <v>3.37</v>
      </c>
      <c r="D25" s="26">
        <v>21</v>
      </c>
      <c r="E25" s="28">
        <f>C25*2.54</f>
        <v>8.559800000000001</v>
      </c>
      <c r="F25" s="26">
        <f>D25*2.54</f>
        <v>53.34</v>
      </c>
      <c r="G25" s="27">
        <f>PI() * (E25/2)^2 * F25 /1000</f>
        <v>3.0695175987378898</v>
      </c>
      <c r="H25" s="26">
        <v>1</v>
      </c>
      <c r="I25" s="28">
        <f>G25*H$4</f>
        <v>1.9337960872048705</v>
      </c>
      <c r="J25" s="28">
        <f>H25*I25</f>
        <v>1.9337960872048705</v>
      </c>
      <c r="K25" s="28">
        <f>J25*2.2</f>
        <v>4.2543513918507152</v>
      </c>
      <c r="L25" s="109" t="s">
        <v>373</v>
      </c>
      <c r="M25" s="1">
        <f t="shared" si="2"/>
        <v>0.92085527962136704</v>
      </c>
    </row>
    <row r="26" spans="3:18">
      <c r="E26" s="1"/>
      <c r="I26" s="1"/>
      <c r="M26" s="1"/>
      <c r="N26" s="23" t="s">
        <v>357</v>
      </c>
      <c r="O26" s="3">
        <v>4.5</v>
      </c>
      <c r="P26" t="s">
        <v>355</v>
      </c>
    </row>
    <row r="27" spans="3:18">
      <c r="C27">
        <v>3.87</v>
      </c>
      <c r="D27">
        <v>12</v>
      </c>
      <c r="E27" s="1">
        <f t="shared" ref="E27" si="10">C27*2.54</f>
        <v>9.8298000000000005</v>
      </c>
      <c r="F27">
        <f t="shared" ref="F27" si="11">D27*2.54</f>
        <v>30.48</v>
      </c>
      <c r="G27" s="2">
        <f>PI() * (E27/2)^2 * F27 /1000</f>
        <v>2.3130989278783316</v>
      </c>
      <c r="H27">
        <v>1</v>
      </c>
      <c r="I27" s="1">
        <f>G27*H$4</f>
        <v>1.4572523245633489</v>
      </c>
      <c r="J27" s="1">
        <f>H27*I27</f>
        <v>1.4572523245633489</v>
      </c>
      <c r="K27" s="1">
        <f>J27*2.2</f>
        <v>3.2059551140393676</v>
      </c>
      <c r="M27" s="1"/>
      <c r="N27" s="23" t="s">
        <v>358</v>
      </c>
      <c r="O27" s="3">
        <v>50</v>
      </c>
      <c r="P27" t="s">
        <v>356</v>
      </c>
      <c r="Q27" t="s">
        <v>825</v>
      </c>
      <c r="R27" t="s">
        <v>824</v>
      </c>
    </row>
    <row r="28" spans="3:18">
      <c r="C28">
        <v>3.87</v>
      </c>
      <c r="D28">
        <v>18</v>
      </c>
      <c r="E28" s="1">
        <f>C28*2.54</f>
        <v>9.8298000000000005</v>
      </c>
      <c r="F28">
        <f>D28*2.54</f>
        <v>45.72</v>
      </c>
      <c r="G28" s="2">
        <f>PI() * (E28/2)^2 * F28 /1000</f>
        <v>3.4696483918174978</v>
      </c>
      <c r="H28">
        <v>1</v>
      </c>
      <c r="I28" s="1">
        <f>G28*H$4</f>
        <v>2.1858784868450236</v>
      </c>
      <c r="J28" s="1">
        <f>H28*I28</f>
        <v>2.1858784868450236</v>
      </c>
      <c r="K28" s="1">
        <f>J28*2.2</f>
        <v>4.8089326710590523</v>
      </c>
      <c r="M28" s="1">
        <f t="shared" si="2"/>
        <v>1.0408945175452495</v>
      </c>
      <c r="N28" s="23" t="s">
        <v>359</v>
      </c>
      <c r="O28" s="3">
        <v>30</v>
      </c>
      <c r="P28" t="s">
        <v>356</v>
      </c>
      <c r="Q28" t="s">
        <v>826</v>
      </c>
    </row>
    <row r="29" spans="3:18">
      <c r="C29">
        <v>3.87</v>
      </c>
      <c r="D29">
        <v>36.5</v>
      </c>
      <c r="E29" s="1">
        <f t="shared" ref="E29" si="12">C29*2.54</f>
        <v>9.8298000000000005</v>
      </c>
      <c r="F29">
        <f t="shared" ref="F29" si="13">D29*2.54</f>
        <v>92.710000000000008</v>
      </c>
      <c r="G29" s="2">
        <f>PI() * (E29/2)^2 * F29 /1000</f>
        <v>7.0356759056299261</v>
      </c>
      <c r="H29">
        <v>1</v>
      </c>
      <c r="I29" s="1">
        <f>G29*H$4</f>
        <v>4.4324758205468537</v>
      </c>
      <c r="J29" s="1">
        <f>H29*I29</f>
        <v>4.4324758205468537</v>
      </c>
      <c r="K29" s="1">
        <f>J29*2.2</f>
        <v>9.7514468052030789</v>
      </c>
      <c r="M29" s="1">
        <f t="shared" si="2"/>
        <v>2.1107027716889784</v>
      </c>
      <c r="N29" s="23" t="s">
        <v>699</v>
      </c>
      <c r="O29" s="21">
        <f>O26*(O27-O28)/100</f>
        <v>0.9</v>
      </c>
      <c r="P29" t="s">
        <v>355</v>
      </c>
    </row>
    <row r="30" spans="3:18">
      <c r="C30">
        <v>3.87</v>
      </c>
      <c r="D30">
        <v>48</v>
      </c>
      <c r="E30" s="1">
        <f t="shared" ref="E30" si="14">C30*2.54</f>
        <v>9.8298000000000005</v>
      </c>
      <c r="F30">
        <f t="shared" ref="F30" si="15">D30*2.54</f>
        <v>121.92</v>
      </c>
      <c r="G30" s="2">
        <f>PI() * (E30/2)^2 * F30 /1000</f>
        <v>9.2523957115133264</v>
      </c>
      <c r="H30">
        <v>1</v>
      </c>
      <c r="I30" s="1">
        <f>G30*H$4</f>
        <v>5.8290092982533954</v>
      </c>
      <c r="J30" s="1">
        <f>H30*I30</f>
        <v>5.8290092982533954</v>
      </c>
      <c r="K30" s="1">
        <f>J30*2.2</f>
        <v>12.82382045615747</v>
      </c>
      <c r="M30" s="1">
        <f t="shared" si="2"/>
        <v>2.7757187134539985</v>
      </c>
      <c r="N30" s="23" t="s">
        <v>360</v>
      </c>
      <c r="O30" s="3">
        <v>5</v>
      </c>
      <c r="P30" t="s">
        <v>17</v>
      </c>
    </row>
    <row r="31" spans="3:18">
      <c r="E31" s="1"/>
      <c r="M31" s="1"/>
      <c r="N31" s="23" t="s">
        <v>361</v>
      </c>
      <c r="O31" s="21">
        <f>O29/O30*60</f>
        <v>10.799999999999999</v>
      </c>
      <c r="P31" t="s">
        <v>362</v>
      </c>
    </row>
    <row r="32" spans="3:18">
      <c r="E32" s="1"/>
      <c r="M32" s="1"/>
      <c r="N32" s="23"/>
      <c r="O32" s="3"/>
    </row>
    <row r="33" spans="3:21">
      <c r="C33" s="26">
        <v>3.0680000000000001</v>
      </c>
      <c r="D33" s="26">
        <v>17</v>
      </c>
      <c r="E33" s="28">
        <f>C33*2.54</f>
        <v>7.7927200000000001</v>
      </c>
      <c r="F33" s="26">
        <f>D33*2.54</f>
        <v>43.18</v>
      </c>
      <c r="G33" s="27">
        <f>PI() * (E33/2)^2 * F33 /1000</f>
        <v>2.0594472054167392</v>
      </c>
      <c r="H33" s="26">
        <v>2</v>
      </c>
      <c r="I33" s="28">
        <f>G33*H$4</f>
        <v>1.2974517394125458</v>
      </c>
      <c r="J33" s="28">
        <f>H33*I33</f>
        <v>2.5949034788250915</v>
      </c>
      <c r="K33" s="28">
        <f>J33*2.2</f>
        <v>5.708787653415202</v>
      </c>
      <c r="M33" s="1">
        <f t="shared" si="2"/>
        <v>0.6178341616250218</v>
      </c>
      <c r="N33" s="23"/>
      <c r="O33" s="3"/>
    </row>
    <row r="34" spans="3:21">
      <c r="M34" s="1"/>
      <c r="N34" s="23" t="s">
        <v>734</v>
      </c>
      <c r="O34" s="3">
        <v>0.7</v>
      </c>
    </row>
    <row r="35" spans="3:21">
      <c r="C35" s="26">
        <v>2.87</v>
      </c>
      <c r="D35" s="26">
        <v>12</v>
      </c>
      <c r="E35" s="28">
        <f t="shared" ref="E35" si="16">C35*2.54</f>
        <v>7.2898000000000005</v>
      </c>
      <c r="F35" s="26">
        <f t="shared" ref="F35" si="17">D35*2.54</f>
        <v>30.48</v>
      </c>
      <c r="G35" s="27">
        <f>PI() * (E35/2)^2 * F35 /1000</f>
        <v>1.2721434047794291</v>
      </c>
      <c r="H35" s="26">
        <v>2</v>
      </c>
      <c r="I35" s="28">
        <f>G35*H$4</f>
        <v>0.8014503450110404</v>
      </c>
      <c r="J35" s="28">
        <f>H35*I35</f>
        <v>1.6029006900220808</v>
      </c>
      <c r="K35" s="28">
        <f>J35*2.2</f>
        <v>3.526381518048578</v>
      </c>
      <c r="L35" s="109" t="s">
        <v>849</v>
      </c>
      <c r="M35" s="1"/>
    </row>
    <row r="36" spans="3:21">
      <c r="C36">
        <v>5.87</v>
      </c>
      <c r="D36">
        <v>12</v>
      </c>
      <c r="E36" s="1">
        <f t="shared" ref="E36" si="18">C36*2.54</f>
        <v>14.909800000000001</v>
      </c>
      <c r="F36">
        <f t="shared" ref="F36" si="19">D36*2.54</f>
        <v>30.48</v>
      </c>
      <c r="G36" s="2">
        <f>PI() * (E36/2)^2 * F36 /1000</f>
        <v>5.3216766118496412</v>
      </c>
      <c r="H36">
        <v>1</v>
      </c>
      <c r="I36" s="1">
        <f>G36*H$4</f>
        <v>3.3526562654652738</v>
      </c>
      <c r="J36" s="1">
        <f>H36*I36</f>
        <v>3.3526562654652738</v>
      </c>
      <c r="K36" s="1">
        <f>J36*2.2</f>
        <v>7.3758437840236031</v>
      </c>
      <c r="M36" s="1">
        <f>G37*(1-O$34)</f>
        <v>4.8560299083127987</v>
      </c>
    </row>
    <row r="37" spans="3:21">
      <c r="C37">
        <v>5.87</v>
      </c>
      <c r="D37">
        <v>36.5</v>
      </c>
      <c r="E37" s="1">
        <f t="shared" ref="E37" si="20">C37*2.54</f>
        <v>14.909800000000001</v>
      </c>
      <c r="F37">
        <f t="shared" ref="F37" si="21">D37*2.54</f>
        <v>92.710000000000008</v>
      </c>
      <c r="G37" s="2">
        <f>PI() * (E37/2)^2 * F37 /1000</f>
        <v>16.186766361042661</v>
      </c>
      <c r="H37">
        <v>1</v>
      </c>
      <c r="I37" s="1">
        <f>G37*H$4</f>
        <v>10.197662807456876</v>
      </c>
      <c r="J37" s="1">
        <f>H37*I37</f>
        <v>10.197662807456876</v>
      </c>
      <c r="K37" s="1">
        <f>J37*2.2</f>
        <v>22.434858176405129</v>
      </c>
      <c r="L37" s="109" t="s">
        <v>782</v>
      </c>
    </row>
    <row r="38" spans="3:21" ht="17" thickBot="1">
      <c r="C38">
        <v>7.87</v>
      </c>
      <c r="D38">
        <v>24</v>
      </c>
      <c r="E38" s="1">
        <f t="shared" ref="E38" si="22">C38*2.54</f>
        <v>19.989799999999999</v>
      </c>
      <c r="F38">
        <f t="shared" ref="F38" si="23">D38*2.54</f>
        <v>60.96</v>
      </c>
      <c r="G38" s="2">
        <f>PI() * (E38/2)^2 * F38 /1000</f>
        <v>19.131619625704577</v>
      </c>
      <c r="H38">
        <v>1</v>
      </c>
      <c r="I38" s="1">
        <f>G38*H$4</f>
        <v>12.052920364193884</v>
      </c>
      <c r="J38" s="1">
        <f>H38*I38</f>
        <v>12.052920364193884</v>
      </c>
      <c r="K38" s="1">
        <f>J38*2.2</f>
        <v>26.516424801226549</v>
      </c>
      <c r="L38" s="109" t="s">
        <v>1073</v>
      </c>
    </row>
    <row r="39" spans="3:21">
      <c r="O39" s="47" t="s">
        <v>842</v>
      </c>
      <c r="P39" s="48"/>
      <c r="Q39" s="48"/>
      <c r="R39" s="126"/>
      <c r="S39" s="127" t="s">
        <v>1002</v>
      </c>
      <c r="U39" s="126"/>
    </row>
    <row r="40" spans="3:21">
      <c r="C40" s="26">
        <v>2.37</v>
      </c>
      <c r="D40" s="26">
        <v>20</v>
      </c>
      <c r="E40" s="28">
        <f>C40*2.54</f>
        <v>6.0198</v>
      </c>
      <c r="F40" s="26">
        <f>D40*2.54</f>
        <v>50.8</v>
      </c>
      <c r="G40" s="27">
        <f>PI() * (E40/2)^2 * F40 /1000</f>
        <v>1.4458316215861093</v>
      </c>
      <c r="H40" s="26">
        <v>2</v>
      </c>
      <c r="I40" s="28">
        <f>G40*H$4</f>
        <v>0.91087392159924885</v>
      </c>
      <c r="J40" s="28">
        <f>H40*I40</f>
        <v>1.8217478431984977</v>
      </c>
      <c r="K40" s="28">
        <f>J40*2.2</f>
        <v>4.0078452550366954</v>
      </c>
      <c r="L40" s="109" t="s">
        <v>783</v>
      </c>
      <c r="N40" s="3" t="s">
        <v>836</v>
      </c>
      <c r="O40" s="128">
        <v>0.09</v>
      </c>
      <c r="P40" s="94">
        <v>0.09</v>
      </c>
      <c r="Q40" s="94">
        <v>0.09</v>
      </c>
      <c r="R40" s="129">
        <v>0.09</v>
      </c>
      <c r="S40" s="130">
        <v>0.05</v>
      </c>
      <c r="T40" t="s">
        <v>833</v>
      </c>
      <c r="U40" s="129">
        <v>0.09</v>
      </c>
    </row>
    <row r="41" spans="3:21">
      <c r="O41" s="128">
        <v>0.96499999999999997</v>
      </c>
      <c r="P41" s="94">
        <v>0.96499999999999997</v>
      </c>
      <c r="Q41" s="94">
        <v>0.96499999999999997</v>
      </c>
      <c r="R41" s="129">
        <v>0.96499999999999997</v>
      </c>
      <c r="S41" s="130">
        <v>0.505</v>
      </c>
      <c r="T41" t="s">
        <v>834</v>
      </c>
      <c r="U41" s="129">
        <v>0.96499999999999997</v>
      </c>
    </row>
    <row r="42" spans="3:21">
      <c r="O42" s="128">
        <v>2.5</v>
      </c>
      <c r="P42" s="94">
        <v>2.5</v>
      </c>
      <c r="Q42" s="94">
        <v>2.5</v>
      </c>
      <c r="R42" s="129">
        <v>2.5</v>
      </c>
      <c r="S42" s="130">
        <v>2.5</v>
      </c>
      <c r="T42" t="s">
        <v>835</v>
      </c>
      <c r="U42" s="129">
        <v>3</v>
      </c>
    </row>
    <row r="43" spans="3:21">
      <c r="C43">
        <v>4.87</v>
      </c>
      <c r="D43">
        <v>36.5</v>
      </c>
      <c r="E43" s="1">
        <f t="shared" ref="E43" si="24">C43*2.54</f>
        <v>12.3698</v>
      </c>
      <c r="F43">
        <f t="shared" ref="F43" si="25">D43*2.54</f>
        <v>92.710000000000008</v>
      </c>
      <c r="G43" s="2">
        <f>PI() * (E43/2)^2 * F43 /1000</f>
        <v>11.141452629465002</v>
      </c>
      <c r="H43">
        <v>1</v>
      </c>
      <c r="I43" s="1">
        <f>G43*H$4</f>
        <v>7.0191151565629513</v>
      </c>
      <c r="J43" s="1">
        <f>H43*I43</f>
        <v>7.0191151565629513</v>
      </c>
      <c r="K43" s="1">
        <f>J43*2.2</f>
        <v>15.442053344438493</v>
      </c>
      <c r="O43" s="128"/>
      <c r="P43" s="94"/>
      <c r="Q43" s="94"/>
      <c r="R43" s="129"/>
      <c r="S43" s="130"/>
      <c r="U43" s="129"/>
    </row>
    <row r="44" spans="3:21">
      <c r="N44" s="3" t="s">
        <v>377</v>
      </c>
      <c r="O44" s="131">
        <f t="shared" ref="O44:S46" si="26">O40*2.54</f>
        <v>0.2286</v>
      </c>
      <c r="P44" s="100">
        <f t="shared" si="26"/>
        <v>0.2286</v>
      </c>
      <c r="Q44" s="100">
        <f t="shared" si="26"/>
        <v>0.2286</v>
      </c>
      <c r="R44" s="132">
        <f t="shared" si="26"/>
        <v>0.2286</v>
      </c>
      <c r="S44" s="133">
        <f t="shared" si="26"/>
        <v>0.127</v>
      </c>
      <c r="T44" t="s">
        <v>833</v>
      </c>
      <c r="U44" s="132">
        <f t="shared" ref="U44" si="27">U40*2.54</f>
        <v>0.2286</v>
      </c>
    </row>
    <row r="45" spans="3:21">
      <c r="O45" s="131">
        <f t="shared" si="26"/>
        <v>2.4510999999999998</v>
      </c>
      <c r="P45" s="100">
        <f t="shared" si="26"/>
        <v>2.4510999999999998</v>
      </c>
      <c r="Q45" s="100">
        <f t="shared" si="26"/>
        <v>2.4510999999999998</v>
      </c>
      <c r="R45" s="132">
        <f t="shared" si="26"/>
        <v>2.4510999999999998</v>
      </c>
      <c r="S45" s="133">
        <f t="shared" si="26"/>
        <v>1.2827</v>
      </c>
      <c r="T45" t="s">
        <v>834</v>
      </c>
      <c r="U45" s="132">
        <f t="shared" ref="U45" si="28">U41*2.54</f>
        <v>2.4510999999999998</v>
      </c>
    </row>
    <row r="46" spans="3:21">
      <c r="C46" s="26"/>
      <c r="D46" s="26"/>
      <c r="E46" s="28">
        <v>7.1</v>
      </c>
      <c r="F46" s="26">
        <v>44</v>
      </c>
      <c r="G46" s="27">
        <f>PI() * (E46/2)^2 * F46 /1000</f>
        <v>1.7420445423420763</v>
      </c>
      <c r="H46" s="26">
        <v>2</v>
      </c>
      <c r="I46" s="28">
        <f>G46*H$4</f>
        <v>1.0974880616755081</v>
      </c>
      <c r="J46" s="28">
        <f>H46*I46</f>
        <v>2.1949761233510161</v>
      </c>
      <c r="K46" s="28">
        <f>J46*2.2</f>
        <v>4.8289474713722358</v>
      </c>
      <c r="L46" s="109" t="s">
        <v>827</v>
      </c>
      <c r="O46" s="131">
        <f t="shared" si="26"/>
        <v>6.35</v>
      </c>
      <c r="P46" s="100">
        <f t="shared" si="26"/>
        <v>6.35</v>
      </c>
      <c r="Q46" s="100">
        <f t="shared" si="26"/>
        <v>6.35</v>
      </c>
      <c r="R46" s="132">
        <f t="shared" si="26"/>
        <v>6.35</v>
      </c>
      <c r="S46" s="133">
        <f t="shared" si="26"/>
        <v>6.35</v>
      </c>
      <c r="T46" t="s">
        <v>835</v>
      </c>
      <c r="U46" s="132">
        <f t="shared" ref="U46" si="29">U42*2.54</f>
        <v>7.62</v>
      </c>
    </row>
    <row r="47" spans="3:21">
      <c r="C47" s="26"/>
      <c r="D47" s="26"/>
      <c r="E47" s="28">
        <v>7.1</v>
      </c>
      <c r="F47" s="26">
        <v>52</v>
      </c>
      <c r="G47" s="27">
        <f>PI() * (E47/2)^2 * F47 /1000</f>
        <v>2.0587799136769989</v>
      </c>
      <c r="H47" s="26">
        <v>2</v>
      </c>
      <c r="I47" s="28">
        <f>G47*H$4</f>
        <v>1.2970313456165092</v>
      </c>
      <c r="J47" s="28">
        <f>H47*I47</f>
        <v>2.5940626912330185</v>
      </c>
      <c r="K47" s="28">
        <f>J47*2.2</f>
        <v>5.7069379207126412</v>
      </c>
      <c r="L47" s="109" t="s">
        <v>828</v>
      </c>
      <c r="O47" s="128"/>
      <c r="P47" s="94"/>
      <c r="Q47" s="94"/>
      <c r="R47" s="129"/>
      <c r="S47" s="130"/>
      <c r="U47" s="129"/>
    </row>
    <row r="48" spans="3:21">
      <c r="N48" t="s">
        <v>837</v>
      </c>
      <c r="O48" s="131">
        <f>O45-O44</f>
        <v>2.2224999999999997</v>
      </c>
      <c r="P48" s="100">
        <f>P45-P44</f>
        <v>2.2224999999999997</v>
      </c>
      <c r="Q48" s="100">
        <f>Q45-Q44</f>
        <v>2.2224999999999997</v>
      </c>
      <c r="R48" s="132">
        <f>R45-R44</f>
        <v>2.2224999999999997</v>
      </c>
      <c r="S48" s="133">
        <f>S45-S44</f>
        <v>1.1556999999999999</v>
      </c>
      <c r="T48" t="s">
        <v>377</v>
      </c>
      <c r="U48" s="132">
        <f>U45-U44</f>
        <v>2.2224999999999997</v>
      </c>
    </row>
    <row r="49" spans="3:21">
      <c r="N49" t="s">
        <v>383</v>
      </c>
      <c r="O49" s="131">
        <f>PI() * (O46/2) ^2</f>
        <v>31.669217443593606</v>
      </c>
      <c r="P49" s="100">
        <f>PI() * (P46/2) ^2</f>
        <v>31.669217443593606</v>
      </c>
      <c r="Q49" s="100">
        <f>PI() * (Q46/2) ^2</f>
        <v>31.669217443593606</v>
      </c>
      <c r="R49" s="132">
        <f>PI() * (R46/2) ^2</f>
        <v>31.669217443593606</v>
      </c>
      <c r="S49" s="133">
        <f>PI() * (S46/2) ^2</f>
        <v>31.669217443593606</v>
      </c>
      <c r="T49" t="s">
        <v>378</v>
      </c>
      <c r="U49" s="132">
        <f>PI() * (U46/2) ^2</f>
        <v>45.603673118774793</v>
      </c>
    </row>
    <row r="50" spans="3:21">
      <c r="C50" s="26">
        <v>1.37</v>
      </c>
      <c r="D50" s="26">
        <v>12</v>
      </c>
      <c r="E50" s="28">
        <f>C50*2.54</f>
        <v>3.4798000000000004</v>
      </c>
      <c r="F50" s="26">
        <f>D50*2.54</f>
        <v>30.48</v>
      </c>
      <c r="G50" s="27">
        <f>PI() * (E50/2)^2 * F50 /1000</f>
        <v>0.28987676873951496</v>
      </c>
      <c r="H50" s="26">
        <v>1</v>
      </c>
      <c r="I50" s="28">
        <f>G50*H$4</f>
        <v>0.18262236430589443</v>
      </c>
      <c r="J50" s="28">
        <f>H50*I50</f>
        <v>0.18262236430589443</v>
      </c>
      <c r="K50" s="28">
        <f>J50*2.2</f>
        <v>0.4017692014729678</v>
      </c>
      <c r="L50" s="109" t="s">
        <v>832</v>
      </c>
      <c r="N50" t="s">
        <v>838</v>
      </c>
      <c r="O50" s="131">
        <f>O48*O49</f>
        <v>70.384835768386779</v>
      </c>
      <c r="P50" s="100">
        <f>P48*P49</f>
        <v>70.384835768386779</v>
      </c>
      <c r="Q50" s="100">
        <f>Q48*Q49</f>
        <v>70.384835768386779</v>
      </c>
      <c r="R50" s="132">
        <f>R48*R49</f>
        <v>70.384835768386779</v>
      </c>
      <c r="S50" s="133">
        <f>S48*S49</f>
        <v>36.600114599561131</v>
      </c>
      <c r="T50" t="s">
        <v>839</v>
      </c>
      <c r="U50" s="132">
        <f>U48*U49</f>
        <v>101.35416350647697</v>
      </c>
    </row>
    <row r="51" spans="3:21">
      <c r="O51" s="128"/>
      <c r="P51" s="94"/>
      <c r="Q51" s="94"/>
      <c r="R51" s="129"/>
      <c r="S51" s="130"/>
      <c r="U51" s="129"/>
    </row>
    <row r="52" spans="3:21">
      <c r="N52" t="s">
        <v>840</v>
      </c>
      <c r="O52" s="128">
        <v>2</v>
      </c>
      <c r="P52" s="94">
        <v>2</v>
      </c>
      <c r="Q52" s="94">
        <v>2</v>
      </c>
      <c r="R52" s="129">
        <v>4</v>
      </c>
      <c r="S52" s="130">
        <v>2</v>
      </c>
      <c r="U52" s="129">
        <v>4</v>
      </c>
    </row>
    <row r="53" spans="3:21">
      <c r="C53" s="26">
        <v>1.38</v>
      </c>
      <c r="D53" s="26">
        <v>18</v>
      </c>
      <c r="E53" s="28">
        <f t="shared" ref="E53:F56" si="30">C53*2.54</f>
        <v>3.5051999999999999</v>
      </c>
      <c r="F53" s="26">
        <f t="shared" si="30"/>
        <v>45.72</v>
      </c>
      <c r="G53" s="27">
        <f>PI() * (E53/2)^2 * F53 /1000</f>
        <v>0.44118598624396516</v>
      </c>
      <c r="H53" s="26">
        <v>1</v>
      </c>
      <c r="I53" s="28">
        <f>G53*H$4</f>
        <v>0.27794717133369806</v>
      </c>
      <c r="J53" s="28">
        <f>H53*I53</f>
        <v>0.27794717133369806</v>
      </c>
      <c r="K53" s="28">
        <f>J53*2.2</f>
        <v>0.6114837769341358</v>
      </c>
      <c r="L53" s="109" t="s">
        <v>844</v>
      </c>
      <c r="O53" s="128"/>
      <c r="P53" s="94"/>
      <c r="Q53" s="94"/>
      <c r="R53" s="129"/>
      <c r="S53" s="130"/>
      <c r="U53" s="129"/>
    </row>
    <row r="54" spans="3:21">
      <c r="C54" s="26">
        <v>1.61</v>
      </c>
      <c r="D54" s="26">
        <v>18</v>
      </c>
      <c r="E54" s="28">
        <f t="shared" si="30"/>
        <v>4.0894000000000004</v>
      </c>
      <c r="F54" s="26">
        <f t="shared" si="30"/>
        <v>45.72</v>
      </c>
      <c r="G54" s="27">
        <f>PI() * (E54/2)^2 * F54 /1000</f>
        <v>0.60050314794317494</v>
      </c>
      <c r="H54" s="26">
        <v>1</v>
      </c>
      <c r="I54" s="28">
        <f>G54*H$4</f>
        <v>0.37831698320420021</v>
      </c>
      <c r="J54" s="28">
        <f>H54*I54</f>
        <v>0.37831698320420021</v>
      </c>
      <c r="K54" s="28">
        <f>J54*2.2</f>
        <v>0.83229736304924051</v>
      </c>
      <c r="L54" s="109" t="s">
        <v>845</v>
      </c>
      <c r="N54" t="s">
        <v>841</v>
      </c>
      <c r="O54" s="128">
        <v>1400</v>
      </c>
      <c r="P54" s="94">
        <v>1680</v>
      </c>
      <c r="Q54" s="94">
        <v>2000</v>
      </c>
      <c r="R54" s="129">
        <v>1100</v>
      </c>
      <c r="S54" s="130">
        <v>1680</v>
      </c>
      <c r="T54" t="s">
        <v>843</v>
      </c>
      <c r="U54" s="129">
        <v>1700</v>
      </c>
    </row>
    <row r="55" spans="3:21">
      <c r="C55" s="26">
        <v>2.0670000000000002</v>
      </c>
      <c r="D55" s="26">
        <v>10</v>
      </c>
      <c r="E55" s="28">
        <f t="shared" si="30"/>
        <v>5.2501800000000003</v>
      </c>
      <c r="F55" s="26">
        <f t="shared" si="30"/>
        <v>25.4</v>
      </c>
      <c r="G55" s="27">
        <f>PI() * (E55/2)^2 * F55 /1000</f>
        <v>0.54988514118809451</v>
      </c>
      <c r="H55" s="26">
        <v>1</v>
      </c>
      <c r="I55" s="28">
        <f>G55*H$4</f>
        <v>0.34642763894849954</v>
      </c>
      <c r="J55" s="28">
        <f>H55*I55</f>
        <v>0.34642763894849954</v>
      </c>
      <c r="K55" s="28">
        <f>J55*2.2</f>
        <v>0.76214080568669906</v>
      </c>
      <c r="L55" s="109" t="s">
        <v>846</v>
      </c>
      <c r="O55" s="128"/>
      <c r="P55" s="94"/>
      <c r="Q55" s="94"/>
      <c r="R55" s="129"/>
      <c r="S55" s="130"/>
      <c r="U55" s="129"/>
    </row>
    <row r="56" spans="3:21">
      <c r="C56" s="26">
        <v>2.0670000000000002</v>
      </c>
      <c r="D56" s="26">
        <v>6</v>
      </c>
      <c r="E56" s="28">
        <f t="shared" si="30"/>
        <v>5.2501800000000003</v>
      </c>
      <c r="F56" s="26">
        <f t="shared" si="30"/>
        <v>15.24</v>
      </c>
      <c r="G56" s="27">
        <f>PI() * (E56/2)^2 * F56 /1000</f>
        <v>0.3299310847128567</v>
      </c>
      <c r="H56" s="26">
        <v>1</v>
      </c>
      <c r="I56" s="28">
        <f>G56*H$4</f>
        <v>0.20785658336909973</v>
      </c>
      <c r="J56" s="28">
        <f>H56*I56</f>
        <v>0.20785658336909973</v>
      </c>
      <c r="K56" s="28">
        <f>J56*2.2</f>
        <v>0.45728448341201944</v>
      </c>
      <c r="N56" t="s">
        <v>848</v>
      </c>
      <c r="O56" s="131">
        <f>O54*O52*O50/1000</f>
        <v>197.07754015148296</v>
      </c>
      <c r="P56" s="100">
        <f>P54*P52*P50/1000</f>
        <v>236.49304818177956</v>
      </c>
      <c r="Q56" s="100">
        <f>Q54*Q52*Q50/1000</f>
        <v>281.53934307354712</v>
      </c>
      <c r="R56" s="132">
        <f>R54*R52*R50/1000</f>
        <v>309.69327738090186</v>
      </c>
      <c r="S56" s="133">
        <f>S54*S52*S50/1000</f>
        <v>122.97638505452539</v>
      </c>
      <c r="T56" t="s">
        <v>236</v>
      </c>
      <c r="U56" s="132">
        <f>U54*U52*U50/1000</f>
        <v>689.20831184404335</v>
      </c>
    </row>
    <row r="57" spans="3:21">
      <c r="O57" s="128"/>
      <c r="P57" s="94"/>
      <c r="Q57" s="94"/>
      <c r="R57" s="129"/>
      <c r="S57" s="130"/>
      <c r="U57" s="129"/>
    </row>
    <row r="58" spans="3:21">
      <c r="N58" t="s">
        <v>847</v>
      </c>
      <c r="O58" s="131">
        <f>O45/O44</f>
        <v>10.722222222222221</v>
      </c>
      <c r="P58" s="100">
        <f>P45/P44</f>
        <v>10.722222222222221</v>
      </c>
      <c r="Q58" s="100">
        <f>Q45/Q44</f>
        <v>10.722222222222221</v>
      </c>
      <c r="R58" s="132">
        <f>R45/R44</f>
        <v>10.722222222222221</v>
      </c>
      <c r="S58" s="133">
        <f>S45/S44</f>
        <v>10.1</v>
      </c>
      <c r="U58" s="132">
        <f>U45/U44</f>
        <v>10.722222222222221</v>
      </c>
    </row>
    <row r="59" spans="3:21">
      <c r="N59" s="1"/>
      <c r="O59" s="131"/>
      <c r="P59" s="100"/>
      <c r="Q59" s="100"/>
      <c r="R59" s="129"/>
      <c r="S59" s="130"/>
      <c r="U59" s="129"/>
    </row>
    <row r="60" spans="3:21" ht="17" thickBot="1">
      <c r="N60" s="1"/>
      <c r="O60" s="134">
        <f t="shared" ref="O60:R60" si="31">O56/28</f>
        <v>7.0384835768386775</v>
      </c>
      <c r="P60" s="95">
        <f t="shared" si="31"/>
        <v>8.446180292206412</v>
      </c>
      <c r="Q60" s="95">
        <f t="shared" si="31"/>
        <v>10.054976538340968</v>
      </c>
      <c r="R60" s="135">
        <f t="shared" si="31"/>
        <v>11.060474192175066</v>
      </c>
      <c r="S60" s="136">
        <f>S56/28</f>
        <v>4.3920137519473359</v>
      </c>
      <c r="T60" t="s">
        <v>1003</v>
      </c>
      <c r="U60" s="135">
        <f t="shared" ref="U60" si="32">U56/28</f>
        <v>24.61458256585869</v>
      </c>
    </row>
    <row r="61" spans="3:21" ht="17" thickBot="1">
      <c r="C61" s="83" t="s">
        <v>874</v>
      </c>
      <c r="D61" s="84"/>
      <c r="F61" s="34" t="s">
        <v>852</v>
      </c>
      <c r="G61">
        <v>2</v>
      </c>
      <c r="H61">
        <v>2.5</v>
      </c>
      <c r="I61">
        <v>3</v>
      </c>
      <c r="J61">
        <v>4</v>
      </c>
      <c r="K61">
        <v>6</v>
      </c>
      <c r="O61" s="137">
        <f t="shared" ref="O61:R61" si="33">O60*0.8</f>
        <v>5.6307868614709422</v>
      </c>
      <c r="P61" s="138">
        <f t="shared" si="33"/>
        <v>6.7569442337651298</v>
      </c>
      <c r="Q61" s="138">
        <f t="shared" si="33"/>
        <v>8.0439812306727756</v>
      </c>
      <c r="R61" s="139">
        <f t="shared" si="33"/>
        <v>8.8483793537400537</v>
      </c>
      <c r="S61" s="140">
        <f>S60*0.8</f>
        <v>3.513611001557869</v>
      </c>
      <c r="T61" t="s">
        <v>1004</v>
      </c>
      <c r="U61" s="139">
        <f t="shared" ref="U61" si="34">U60*0.8</f>
        <v>19.691666052686955</v>
      </c>
    </row>
    <row r="62" spans="3:21">
      <c r="C62" s="85" t="s">
        <v>871</v>
      </c>
      <c r="D62" s="86">
        <v>1.1000000000000001</v>
      </c>
      <c r="F62" t="s">
        <v>850</v>
      </c>
      <c r="G62">
        <v>50</v>
      </c>
      <c r="H62">
        <v>78.75</v>
      </c>
      <c r="I62">
        <f>(260-90)/2</f>
        <v>85</v>
      </c>
      <c r="J62" s="29">
        <f>I62*1.33</f>
        <v>113.05000000000001</v>
      </c>
      <c r="K62" s="29">
        <f>J62*1.5</f>
        <v>169.57500000000002</v>
      </c>
      <c r="Q62" s="1"/>
    </row>
    <row r="63" spans="3:21">
      <c r="C63" s="85" t="s">
        <v>872</v>
      </c>
      <c r="D63" s="86">
        <v>10</v>
      </c>
      <c r="F63" t="s">
        <v>851</v>
      </c>
      <c r="G63" s="29">
        <f>PI()*G62</f>
        <v>157.07963267948966</v>
      </c>
      <c r="H63" s="29">
        <f>PI()*H62</f>
        <v>247.40042147019622</v>
      </c>
      <c r="I63" s="29">
        <f>PI()*I62</f>
        <v>267.03537555513242</v>
      </c>
      <c r="J63" s="29">
        <f>PI()*J62</f>
        <v>355.15704948832615</v>
      </c>
      <c r="K63" s="29">
        <f>PI()*K62</f>
        <v>532.73557423248917</v>
      </c>
      <c r="N63" s="1" t="s">
        <v>886</v>
      </c>
      <c r="O63" s="1" t="s">
        <v>887</v>
      </c>
      <c r="P63" s="1" t="s">
        <v>882</v>
      </c>
      <c r="Q63" s="1"/>
    </row>
    <row r="64" spans="3:21">
      <c r="C64" s="85" t="s">
        <v>873</v>
      </c>
      <c r="D64" s="86">
        <v>0.6</v>
      </c>
      <c r="F64" t="s">
        <v>854</v>
      </c>
      <c r="G64">
        <v>10</v>
      </c>
      <c r="H64">
        <v>150</v>
      </c>
      <c r="I64">
        <v>20</v>
      </c>
      <c r="J64">
        <v>21</v>
      </c>
      <c r="K64">
        <v>22</v>
      </c>
      <c r="M64" t="s">
        <v>861</v>
      </c>
      <c r="N64" s="2">
        <v>0.9</v>
      </c>
      <c r="O64" s="1">
        <v>0.9</v>
      </c>
      <c r="P64" s="1">
        <v>0.6</v>
      </c>
      <c r="Q64" s="1"/>
    </row>
    <row r="65" spans="2:21" ht="17" thickBot="1">
      <c r="C65" s="87" t="s">
        <v>867</v>
      </c>
      <c r="D65" s="88">
        <f>D63/D62/D64</f>
        <v>15.15151515151515</v>
      </c>
      <c r="E65" t="s">
        <v>888</v>
      </c>
      <c r="F65" t="s">
        <v>855</v>
      </c>
      <c r="G65" s="29">
        <f>G63+(2*G64)</f>
        <v>177.07963267948966</v>
      </c>
      <c r="H65" s="29">
        <f t="shared" ref="H65:K65" si="35">H63+(2*H64)</f>
        <v>547.40042147019619</v>
      </c>
      <c r="I65" s="29">
        <f t="shared" si="35"/>
        <v>307.03537555513242</v>
      </c>
      <c r="J65" s="29">
        <f t="shared" si="35"/>
        <v>397.15704948832615</v>
      </c>
      <c r="K65" s="29">
        <f t="shared" si="35"/>
        <v>576.73557423248917</v>
      </c>
      <c r="M65" t="s">
        <v>859</v>
      </c>
      <c r="N65">
        <v>0.67</v>
      </c>
      <c r="O65" s="1">
        <v>1</v>
      </c>
      <c r="P65" s="1">
        <v>1</v>
      </c>
      <c r="Q65" s="1"/>
    </row>
    <row r="66" spans="2:21">
      <c r="F66" t="s">
        <v>853</v>
      </c>
      <c r="G66" s="2">
        <f>G65/25.4</f>
        <v>6.9716390818696725</v>
      </c>
      <c r="H66" s="2">
        <v>14.5</v>
      </c>
      <c r="I66" s="2">
        <f t="shared" ref="I66:K66" si="36">I65/25.4</f>
        <v>12.088006911619388</v>
      </c>
      <c r="J66" s="2">
        <f t="shared" si="36"/>
        <v>15.636104310564022</v>
      </c>
      <c r="K66" s="2">
        <f t="shared" si="36"/>
        <v>22.706124969783041</v>
      </c>
    </row>
    <row r="68" spans="2:21">
      <c r="M68" s="3" t="s">
        <v>529</v>
      </c>
      <c r="N68" s="3" t="s">
        <v>883</v>
      </c>
      <c r="O68" s="3" t="s">
        <v>1006</v>
      </c>
      <c r="P68" s="77" t="s">
        <v>1007</v>
      </c>
      <c r="Q68" s="3" t="s">
        <v>884</v>
      </c>
      <c r="R68" s="3" t="s">
        <v>1005</v>
      </c>
      <c r="S68" s="3" t="s">
        <v>1051</v>
      </c>
      <c r="T68" s="3" t="s">
        <v>885</v>
      </c>
    </row>
    <row r="69" spans="2:21">
      <c r="H69" t="s">
        <v>861</v>
      </c>
      <c r="I69">
        <v>0.9</v>
      </c>
      <c r="J69" t="s">
        <v>869</v>
      </c>
      <c r="L69" s="110" t="s">
        <v>878</v>
      </c>
      <c r="M69" s="5">
        <v>30</v>
      </c>
      <c r="N69" s="5">
        <v>75</v>
      </c>
      <c r="O69" s="5">
        <f>5.4*28*0.8</f>
        <v>120.96000000000002</v>
      </c>
      <c r="P69" s="5">
        <v>171</v>
      </c>
      <c r="Q69" s="5">
        <v>160</v>
      </c>
      <c r="R69" s="5">
        <f>200*6/5*0.8</f>
        <v>192</v>
      </c>
      <c r="S69" s="5">
        <f>9*28*0.8</f>
        <v>201.60000000000002</v>
      </c>
      <c r="T69" s="5">
        <f>10.5*28*0.8</f>
        <v>235.20000000000002</v>
      </c>
      <c r="U69" t="s">
        <v>17</v>
      </c>
    </row>
    <row r="70" spans="2:21">
      <c r="H70" t="s">
        <v>859</v>
      </c>
      <c r="I70">
        <v>0.5</v>
      </c>
      <c r="J70" t="s">
        <v>868</v>
      </c>
      <c r="L70" s="110" t="s">
        <v>877</v>
      </c>
      <c r="M70" s="5">
        <f t="shared" ref="M70:R70" si="37">M69*0.21*$I70*$I69</f>
        <v>2.835</v>
      </c>
      <c r="N70" s="5">
        <f t="shared" si="37"/>
        <v>7.0875000000000004</v>
      </c>
      <c r="O70" s="5">
        <f t="shared" si="37"/>
        <v>11.430720000000001</v>
      </c>
      <c r="P70" s="5">
        <f t="shared" si="37"/>
        <v>16.159499999999998</v>
      </c>
      <c r="Q70" s="5">
        <f t="shared" si="37"/>
        <v>15.120000000000001</v>
      </c>
      <c r="R70" s="5">
        <f t="shared" si="37"/>
        <v>18.144000000000002</v>
      </c>
      <c r="S70" s="5">
        <f>S69*0.21*$I70*$I69</f>
        <v>19.051200000000001</v>
      </c>
      <c r="T70" s="5">
        <f>T69*0.21*$I70*$I69</f>
        <v>22.226400000000002</v>
      </c>
      <c r="U70" t="s">
        <v>17</v>
      </c>
    </row>
    <row r="71" spans="2:21">
      <c r="C71" s="3" t="s">
        <v>729</v>
      </c>
      <c r="D71" s="3" t="s">
        <v>725</v>
      </c>
      <c r="E71" s="3">
        <v>3.95</v>
      </c>
      <c r="F71" t="s">
        <v>865</v>
      </c>
      <c r="H71" t="s">
        <v>864</v>
      </c>
      <c r="I71" s="2">
        <f>D65</f>
        <v>15.15151515151515</v>
      </c>
      <c r="J71" t="s">
        <v>867</v>
      </c>
      <c r="L71" s="110" t="s">
        <v>879</v>
      </c>
      <c r="M71" s="21">
        <f t="shared" ref="M71:R71" si="38">M70/$I71/$I70</f>
        <v>0.37422</v>
      </c>
      <c r="N71" s="21">
        <f t="shared" si="38"/>
        <v>0.9355500000000001</v>
      </c>
      <c r="O71" s="21">
        <f t="shared" si="38"/>
        <v>1.5088550400000003</v>
      </c>
      <c r="P71" s="21">
        <f t="shared" si="38"/>
        <v>2.133054</v>
      </c>
      <c r="Q71" s="21">
        <f t="shared" si="38"/>
        <v>1.9958400000000003</v>
      </c>
      <c r="R71" s="21">
        <f t="shared" si="38"/>
        <v>2.3950080000000002</v>
      </c>
      <c r="S71" s="21">
        <f>S70/$I71/$I70</f>
        <v>2.5147584000000003</v>
      </c>
      <c r="T71" s="21">
        <f>T70/$I71/$I70</f>
        <v>2.9338848000000004</v>
      </c>
      <c r="U71" t="s">
        <v>5</v>
      </c>
    </row>
    <row r="72" spans="2:21">
      <c r="C72" s="3" t="s">
        <v>728</v>
      </c>
      <c r="D72" s="3" t="s">
        <v>724</v>
      </c>
      <c r="E72" s="3">
        <v>0.7</v>
      </c>
      <c r="H72" t="s">
        <v>858</v>
      </c>
      <c r="I72">
        <v>0.8</v>
      </c>
      <c r="J72" t="s">
        <v>866</v>
      </c>
      <c r="L72" s="110" t="s">
        <v>880</v>
      </c>
      <c r="M72" s="21">
        <f t="shared" ref="M72:R73" si="39">M71/$I72</f>
        <v>0.467775</v>
      </c>
      <c r="N72" s="21">
        <f t="shared" si="39"/>
        <v>1.1694375000000001</v>
      </c>
      <c r="O72" s="21">
        <f t="shared" si="39"/>
        <v>1.8860688000000003</v>
      </c>
      <c r="P72" s="21">
        <f t="shared" si="39"/>
        <v>2.6663174999999999</v>
      </c>
      <c r="Q72" s="21">
        <f t="shared" si="39"/>
        <v>2.4948000000000001</v>
      </c>
      <c r="R72" s="21">
        <f t="shared" si="39"/>
        <v>2.99376</v>
      </c>
      <c r="S72" s="21">
        <f>S71/$I72</f>
        <v>3.1434480000000002</v>
      </c>
      <c r="T72" s="21">
        <f>T71/$I72</f>
        <v>3.6673560000000003</v>
      </c>
      <c r="U72" t="s">
        <v>5</v>
      </c>
    </row>
    <row r="73" spans="2:21">
      <c r="C73" s="3" t="s">
        <v>727</v>
      </c>
      <c r="D73" s="3" t="s">
        <v>726</v>
      </c>
      <c r="E73" s="3">
        <v>0.63</v>
      </c>
      <c r="H73" s="3" t="s">
        <v>698</v>
      </c>
      <c r="I73">
        <v>0.63</v>
      </c>
      <c r="J73" t="s">
        <v>865</v>
      </c>
      <c r="L73" s="110" t="s">
        <v>881</v>
      </c>
      <c r="M73" s="21">
        <f t="shared" si="39"/>
        <v>0.74249999999999994</v>
      </c>
      <c r="N73" s="21">
        <f t="shared" si="39"/>
        <v>1.8562500000000002</v>
      </c>
      <c r="O73" s="21">
        <f t="shared" si="39"/>
        <v>2.9937600000000004</v>
      </c>
      <c r="P73" s="21">
        <f t="shared" si="39"/>
        <v>4.2322499999999996</v>
      </c>
      <c r="Q73" s="21">
        <f t="shared" si="39"/>
        <v>3.96</v>
      </c>
      <c r="R73" s="21">
        <f t="shared" si="39"/>
        <v>4.7519999999999998</v>
      </c>
      <c r="S73" s="21">
        <f>S72/$I73</f>
        <v>4.9896000000000003</v>
      </c>
      <c r="T73" s="21">
        <f>T72/$I73</f>
        <v>5.8212000000000002</v>
      </c>
      <c r="U73" t="s">
        <v>757</v>
      </c>
    </row>
    <row r="75" spans="2:21">
      <c r="C75" s="3" t="s">
        <v>346</v>
      </c>
      <c r="D75" s="3" t="s">
        <v>347</v>
      </c>
      <c r="E75" s="3" t="s">
        <v>1</v>
      </c>
      <c r="F75" s="3" t="s">
        <v>2</v>
      </c>
      <c r="G75" s="3" t="s">
        <v>0</v>
      </c>
      <c r="H75" s="3" t="s">
        <v>348</v>
      </c>
      <c r="I75" s="3" t="s">
        <v>862</v>
      </c>
      <c r="J75" s="3" t="s">
        <v>863</v>
      </c>
      <c r="K75" s="3" t="s">
        <v>7</v>
      </c>
      <c r="M75" s="3" t="s">
        <v>870</v>
      </c>
      <c r="N75" s="3" t="s">
        <v>731</v>
      </c>
      <c r="O75" s="3" t="s">
        <v>856</v>
      </c>
      <c r="P75" s="3" t="s">
        <v>860</v>
      </c>
    </row>
    <row r="76" spans="2:21">
      <c r="C76" s="79">
        <v>2.0670000000000002</v>
      </c>
      <c r="D76" s="78">
        <v>20</v>
      </c>
      <c r="E76" s="79">
        <f>C76*2.54</f>
        <v>5.2501800000000003</v>
      </c>
      <c r="F76" s="78">
        <f>D76*2.54</f>
        <v>50.8</v>
      </c>
      <c r="G76" s="80">
        <f t="shared" ref="G76:G81" si="40">PI() * (E76/2)^2 * F76 /1000</f>
        <v>1.099770282376189</v>
      </c>
      <c r="H76" s="78">
        <v>1</v>
      </c>
      <c r="I76" s="79">
        <f>G76*I$73</f>
        <v>0.69285527789699908</v>
      </c>
      <c r="J76" s="79">
        <f>H76*I76*I$72</f>
        <v>0.55428422231759933</v>
      </c>
      <c r="K76" s="79">
        <f t="shared" ref="K76:K81" si="41">J76*2.2</f>
        <v>1.2194252890987187</v>
      </c>
      <c r="M76" s="78">
        <v>1</v>
      </c>
      <c r="N76" s="80">
        <f>J76*I$71*I$70*M76</f>
        <v>4.1991228963454494</v>
      </c>
      <c r="O76" s="101">
        <f>N76/0.21/I$69/I$70</f>
        <v>44.435162924290466</v>
      </c>
      <c r="P76" s="80">
        <f>O76/28</f>
        <v>1.5869701044389453</v>
      </c>
      <c r="Q76" t="s">
        <v>876</v>
      </c>
    </row>
    <row r="77" spans="2:21">
      <c r="B77" s="93"/>
      <c r="C77" s="94">
        <v>1.87</v>
      </c>
      <c r="D77" s="94">
        <v>31</v>
      </c>
      <c r="E77" s="100">
        <f t="shared" ref="E77" si="42">C77*2.54</f>
        <v>4.7498000000000005</v>
      </c>
      <c r="F77" s="94">
        <f t="shared" ref="F77" si="43">D77*2.54</f>
        <v>78.739999999999995</v>
      </c>
      <c r="G77" s="95">
        <f t="shared" si="40"/>
        <v>1.3951982990907659</v>
      </c>
      <c r="H77" s="94">
        <v>1</v>
      </c>
      <c r="I77" s="92">
        <f t="shared" ref="I77:I81" si="44">G77*I$73</f>
        <v>0.8789749284271825</v>
      </c>
      <c r="J77" s="92">
        <f t="shared" ref="J77:J81" si="45">H77*I77*I$72</f>
        <v>0.703179942741746</v>
      </c>
      <c r="K77" s="100">
        <f t="shared" si="41"/>
        <v>1.5469958740318412</v>
      </c>
      <c r="L77" s="111"/>
      <c r="M77" s="3">
        <v>1</v>
      </c>
      <c r="N77" s="5">
        <f t="shared" ref="N77:N81" si="46">J77*I$71*I$70*M77</f>
        <v>5.3271207783465604</v>
      </c>
      <c r="O77" s="81">
        <f t="shared" ref="O77:O81" si="47">N77/0.21/I$69/I$70</f>
        <v>56.371648448111749</v>
      </c>
      <c r="P77" s="5">
        <f t="shared" ref="P77:P81" si="48">O77/28</f>
        <v>2.0132731588611339</v>
      </c>
      <c r="Q77" t="s">
        <v>1074</v>
      </c>
    </row>
    <row r="78" spans="2:21">
      <c r="C78" s="78">
        <v>2.37</v>
      </c>
      <c r="D78" s="78">
        <v>38.5</v>
      </c>
      <c r="E78" s="79">
        <f>C78*2.54</f>
        <v>6.0198</v>
      </c>
      <c r="F78" s="78">
        <f>D78*2.54</f>
        <v>97.79</v>
      </c>
      <c r="G78" s="80">
        <f t="shared" si="40"/>
        <v>2.7832258715532605</v>
      </c>
      <c r="H78" s="78">
        <v>1</v>
      </c>
      <c r="I78" s="79">
        <f t="shared" si="44"/>
        <v>1.753432299078554</v>
      </c>
      <c r="J78" s="79">
        <f t="shared" si="45"/>
        <v>1.4027458392628434</v>
      </c>
      <c r="K78" s="79">
        <f t="shared" si="41"/>
        <v>3.0860408463782556</v>
      </c>
      <c r="L78" s="153"/>
      <c r="M78" s="78">
        <v>1</v>
      </c>
      <c r="N78" s="80">
        <f t="shared" si="46"/>
        <v>10.626862418657904</v>
      </c>
      <c r="O78" s="101">
        <f t="shared" si="47"/>
        <v>112.45357056780851</v>
      </c>
      <c r="P78" s="80">
        <f t="shared" si="48"/>
        <v>4.0161989488503043</v>
      </c>
      <c r="Q78" t="s">
        <v>875</v>
      </c>
    </row>
    <row r="79" spans="2:21">
      <c r="B79" s="93"/>
      <c r="C79" s="89">
        <v>2.87</v>
      </c>
      <c r="D79" s="89">
        <v>48</v>
      </c>
      <c r="E79" s="90">
        <f t="shared" ref="E79" si="49">C79*2.54</f>
        <v>7.2898000000000005</v>
      </c>
      <c r="F79" s="89">
        <f t="shared" ref="F79" si="50">D79*2.54</f>
        <v>121.92</v>
      </c>
      <c r="G79" s="91">
        <f t="shared" si="40"/>
        <v>5.0885736191177164</v>
      </c>
      <c r="H79" s="89">
        <v>1</v>
      </c>
      <c r="I79" s="92">
        <f t="shared" si="44"/>
        <v>3.2058013800441616</v>
      </c>
      <c r="J79" s="92">
        <f t="shared" si="45"/>
        <v>2.5646411040353296</v>
      </c>
      <c r="K79" s="90">
        <f t="shared" si="41"/>
        <v>5.6422104288777257</v>
      </c>
      <c r="L79" s="154" t="s">
        <v>1123</v>
      </c>
      <c r="M79" s="94">
        <v>1</v>
      </c>
      <c r="N79" s="95">
        <f t="shared" si="46"/>
        <v>19.429099272994922</v>
      </c>
      <c r="O79" s="96">
        <f t="shared" si="47"/>
        <v>205.59893410576635</v>
      </c>
      <c r="P79" s="95">
        <f t="shared" si="48"/>
        <v>7.3428190752059406</v>
      </c>
      <c r="Q79" t="s">
        <v>1069</v>
      </c>
    </row>
    <row r="80" spans="2:21">
      <c r="C80" s="97">
        <v>3.87</v>
      </c>
      <c r="D80" s="97">
        <v>36</v>
      </c>
      <c r="E80" s="98">
        <f>C80*2.54</f>
        <v>9.8298000000000005</v>
      </c>
      <c r="F80" s="97">
        <f>D80*2.54</f>
        <v>91.44</v>
      </c>
      <c r="G80" s="99">
        <f t="shared" si="40"/>
        <v>6.9392967836349957</v>
      </c>
      <c r="H80" s="97">
        <v>1</v>
      </c>
      <c r="I80" s="98">
        <f t="shared" si="44"/>
        <v>4.3717569736900472</v>
      </c>
      <c r="J80" s="98">
        <f t="shared" si="45"/>
        <v>3.497405578952038</v>
      </c>
      <c r="K80" s="98">
        <f t="shared" si="41"/>
        <v>7.6942922736944839</v>
      </c>
      <c r="L80" s="154" t="s">
        <v>1108</v>
      </c>
      <c r="M80" s="97">
        <v>1</v>
      </c>
      <c r="N80" s="99">
        <f t="shared" si="46"/>
        <v>26.49549681024271</v>
      </c>
      <c r="O80" s="102">
        <f t="shared" si="47"/>
        <v>280.37562762161599</v>
      </c>
      <c r="P80" s="99">
        <f t="shared" si="48"/>
        <v>10.013415272200572</v>
      </c>
    </row>
    <row r="81" spans="2:21">
      <c r="C81" s="3">
        <v>5.87</v>
      </c>
      <c r="D81" s="3">
        <v>24</v>
      </c>
      <c r="E81" s="21">
        <f t="shared" ref="E81" si="51">C81*2.54</f>
        <v>14.909800000000001</v>
      </c>
      <c r="F81" s="3">
        <f t="shared" ref="F81" si="52">D81*2.54</f>
        <v>60.96</v>
      </c>
      <c r="G81" s="5">
        <f t="shared" si="40"/>
        <v>10.643353223699282</v>
      </c>
      <c r="H81" s="3">
        <v>1</v>
      </c>
      <c r="I81" s="82">
        <f t="shared" si="44"/>
        <v>6.7053125309305477</v>
      </c>
      <c r="J81" s="82">
        <f t="shared" si="45"/>
        <v>5.3642500247444387</v>
      </c>
      <c r="K81" s="21">
        <f t="shared" si="41"/>
        <v>11.801350054437766</v>
      </c>
      <c r="L81" s="153" t="s">
        <v>1107</v>
      </c>
      <c r="M81" s="3">
        <v>1</v>
      </c>
      <c r="N81" s="5">
        <f t="shared" si="46"/>
        <v>40.638257763215442</v>
      </c>
      <c r="O81" s="81">
        <f t="shared" si="47"/>
        <v>430.03447368481949</v>
      </c>
      <c r="P81" s="5">
        <f t="shared" si="48"/>
        <v>15.358374060172125</v>
      </c>
      <c r="Q81" t="s">
        <v>1067</v>
      </c>
    </row>
    <row r="82" spans="2:21">
      <c r="C82" s="3">
        <v>5.87</v>
      </c>
      <c r="D82" s="3">
        <v>36</v>
      </c>
      <c r="E82" s="21">
        <f t="shared" ref="E82:E83" si="53">C82*2.54</f>
        <v>14.909800000000001</v>
      </c>
      <c r="F82" s="3">
        <f t="shared" ref="F82:F83" si="54">D82*2.54</f>
        <v>91.44</v>
      </c>
      <c r="G82" s="5">
        <f t="shared" ref="G82" si="55">PI() * (E82/2)^2 * F82 /1000</f>
        <v>15.965029835548924</v>
      </c>
      <c r="H82" s="3">
        <v>1</v>
      </c>
      <c r="I82" s="82">
        <f t="shared" ref="I82" si="56">G82*I$73</f>
        <v>10.057968796395823</v>
      </c>
      <c r="J82" s="82">
        <f t="shared" ref="J82:J83" si="57">H82*I82*I$72</f>
        <v>8.0463750371166594</v>
      </c>
      <c r="K82" s="21">
        <f t="shared" ref="K82" si="58">J82*2.2</f>
        <v>17.702025081656654</v>
      </c>
      <c r="L82" s="153" t="s">
        <v>1122</v>
      </c>
      <c r="M82" s="3">
        <v>1</v>
      </c>
      <c r="N82" s="5">
        <f>J82*I$71*I$70*M82</f>
        <v>60.957386644823174</v>
      </c>
      <c r="O82" s="81">
        <f>N82/0.21/I$69/I$70</f>
        <v>645.05171052722937</v>
      </c>
      <c r="P82" s="5">
        <f>O82/28</f>
        <v>23.03756109025819</v>
      </c>
      <c r="Q82" t="s">
        <v>1068</v>
      </c>
      <c r="T82" s="81">
        <f>O82/0.8</f>
        <v>806.31463815903669</v>
      </c>
      <c r="U82" s="3">
        <v>3450</v>
      </c>
    </row>
    <row r="83" spans="2:21">
      <c r="C83" s="3">
        <v>7.87</v>
      </c>
      <c r="D83" s="3">
        <v>36</v>
      </c>
      <c r="E83" s="21">
        <f t="shared" si="53"/>
        <v>19.989799999999999</v>
      </c>
      <c r="F83" s="3">
        <f t="shared" si="54"/>
        <v>91.44</v>
      </c>
      <c r="G83" s="5">
        <f>PI() * (E83/2)^2 * F83 /1000</f>
        <v>28.697429438556863</v>
      </c>
      <c r="H83" s="3">
        <v>1</v>
      </c>
      <c r="I83" s="21">
        <f>G83*H$4</f>
        <v>18.079380546290825</v>
      </c>
      <c r="J83" s="82">
        <f t="shared" si="57"/>
        <v>14.463504437032661</v>
      </c>
      <c r="K83" s="21">
        <f>J83*2.2</f>
        <v>31.819709761471856</v>
      </c>
      <c r="L83" s="153" t="s">
        <v>1109</v>
      </c>
      <c r="M83" s="3">
        <v>1</v>
      </c>
      <c r="N83" s="5">
        <f>J83*I$71*I$70*M83</f>
        <v>109.57200331085349</v>
      </c>
      <c r="O83" s="81">
        <f>N83/0.21/I$69/I$70</f>
        <v>1159.4920985275503</v>
      </c>
      <c r="P83" s="5">
        <f>O83/28</f>
        <v>41.410432090269651</v>
      </c>
      <c r="S83" s="3" t="s">
        <v>1065</v>
      </c>
      <c r="T83" s="3" t="s">
        <v>1066</v>
      </c>
      <c r="U83" s="3"/>
    </row>
    <row r="84" spans="2:21">
      <c r="C84" t="s">
        <v>1124</v>
      </c>
      <c r="M84" t="s">
        <v>889</v>
      </c>
      <c r="S84" s="3">
        <v>0.5</v>
      </c>
      <c r="T84" s="81">
        <f>T82/S84</f>
        <v>1612.6292763180734</v>
      </c>
      <c r="U84" s="5">
        <f>U82/T84</f>
        <v>2.1393633680500823</v>
      </c>
    </row>
    <row r="85" spans="2:21">
      <c r="C85" s="78">
        <v>3.37</v>
      </c>
      <c r="D85" s="78">
        <v>21</v>
      </c>
      <c r="E85" s="79">
        <f>C85*2.54</f>
        <v>8.559800000000001</v>
      </c>
      <c r="F85" s="78">
        <f>D85*2.54</f>
        <v>53.34</v>
      </c>
      <c r="G85" s="80">
        <f>PI() * (E85/2)^2 * F85 /1000</f>
        <v>3.0695175987378898</v>
      </c>
      <c r="H85" s="109" t="s">
        <v>373</v>
      </c>
      <c r="M85" t="s">
        <v>890</v>
      </c>
      <c r="S85" s="3">
        <v>0.3</v>
      </c>
      <c r="T85" s="81">
        <f>T82/S85</f>
        <v>2687.7154605301225</v>
      </c>
      <c r="U85" s="5">
        <f>U82/T85</f>
        <v>1.2836180208300492</v>
      </c>
    </row>
    <row r="86" spans="2:21">
      <c r="C86" s="97">
        <v>3.87</v>
      </c>
      <c r="D86" s="97">
        <v>24</v>
      </c>
      <c r="E86" s="98">
        <f>C86*2.54</f>
        <v>9.8298000000000005</v>
      </c>
      <c r="F86" s="97">
        <f>D86*2.54</f>
        <v>60.96</v>
      </c>
      <c r="G86" s="99">
        <f t="shared" ref="G86:G87" si="59">PI() * (E86/2)^2 * F86 /1000</f>
        <v>4.6261978557566632</v>
      </c>
      <c r="H86" s="3">
        <v>1</v>
      </c>
      <c r="I86" s="21">
        <f>G86*H$4</f>
        <v>2.9145046491266977</v>
      </c>
      <c r="J86" s="82">
        <f>H86*I86*I$72</f>
        <v>2.3316037193013583</v>
      </c>
      <c r="K86" s="21">
        <f>J86*2.2</f>
        <v>5.1295281824629884</v>
      </c>
      <c r="M86" t="s">
        <v>891</v>
      </c>
    </row>
    <row r="87" spans="2:21">
      <c r="C87" s="3">
        <v>5.87</v>
      </c>
      <c r="D87" s="3">
        <v>18</v>
      </c>
      <c r="E87" s="21">
        <f t="shared" ref="E87" si="60">C87*2.54</f>
        <v>14.909800000000001</v>
      </c>
      <c r="F87" s="3">
        <f t="shared" ref="F87" si="61">D87*2.54</f>
        <v>45.72</v>
      </c>
      <c r="G87" s="5">
        <f t="shared" si="59"/>
        <v>7.9825149177744619</v>
      </c>
      <c r="M87" t="s">
        <v>892</v>
      </c>
    </row>
    <row r="88" spans="2:21">
      <c r="C88" s="3">
        <v>5.87</v>
      </c>
      <c r="D88" s="3">
        <v>48</v>
      </c>
      <c r="E88" s="21">
        <f t="shared" ref="E88" si="62">C88*2.54</f>
        <v>14.909800000000001</v>
      </c>
      <c r="F88" s="3">
        <f t="shared" ref="F88" si="63">D88*2.54</f>
        <v>121.92</v>
      </c>
      <c r="G88" s="155">
        <f t="shared" ref="G88" si="64">PI() * (E88/2)^2 * F88 /1000</f>
        <v>21.286706447398565</v>
      </c>
    </row>
    <row r="89" spans="2:21">
      <c r="C89" s="3">
        <v>7.87</v>
      </c>
      <c r="D89" s="3">
        <v>48</v>
      </c>
      <c r="E89" s="21">
        <f t="shared" ref="E89" si="65">C89*2.54</f>
        <v>19.989799999999999</v>
      </c>
      <c r="F89" s="3">
        <f t="shared" ref="F89" si="66">D89*2.54</f>
        <v>121.92</v>
      </c>
      <c r="G89" s="155">
        <f t="shared" ref="G89" si="67">PI() * (E89/2)^2 * F89 /1000</f>
        <v>38.263239251409153</v>
      </c>
      <c r="M89" t="s">
        <v>895</v>
      </c>
    </row>
    <row r="90" spans="2:21">
      <c r="M90" t="s">
        <v>893</v>
      </c>
    </row>
    <row r="91" spans="2:21">
      <c r="D91" s="26" t="s">
        <v>907</v>
      </c>
      <c r="M91" t="s">
        <v>894</v>
      </c>
    </row>
    <row r="92" spans="2:21">
      <c r="B92" t="s">
        <v>36</v>
      </c>
      <c r="C92" s="26" t="s">
        <v>907</v>
      </c>
      <c r="D92" s="26" t="s">
        <v>907</v>
      </c>
      <c r="F92" s="103" t="s">
        <v>908</v>
      </c>
      <c r="M92" t="s">
        <v>896</v>
      </c>
    </row>
    <row r="93" spans="2:21">
      <c r="B93" t="s">
        <v>942</v>
      </c>
      <c r="C93" s="104" t="s">
        <v>906</v>
      </c>
      <c r="D93" s="108" t="s">
        <v>934</v>
      </c>
      <c r="E93" s="107" t="s">
        <v>909</v>
      </c>
      <c r="F93" s="103" t="s">
        <v>908</v>
      </c>
    </row>
    <row r="94" spans="2:21">
      <c r="M94" t="s">
        <v>897</v>
      </c>
      <c r="N94" t="s">
        <v>898</v>
      </c>
    </row>
    <row r="95" spans="2:21">
      <c r="C95" t="s">
        <v>929</v>
      </c>
      <c r="M95" t="s">
        <v>900</v>
      </c>
      <c r="N95" t="s">
        <v>899</v>
      </c>
    </row>
    <row r="96" spans="2:21">
      <c r="B96" t="s">
        <v>904</v>
      </c>
      <c r="C96" s="26"/>
      <c r="D96" s="26"/>
      <c r="E96" s="106"/>
      <c r="F96" s="66"/>
      <c r="G96" s="103"/>
      <c r="H96" s="103"/>
      <c r="I96" s="106"/>
      <c r="J96" s="26"/>
      <c r="K96" s="106"/>
      <c r="L96" s="109" t="s">
        <v>916</v>
      </c>
    </row>
    <row r="97" spans="2:16">
      <c r="B97" t="s">
        <v>905</v>
      </c>
      <c r="C97" s="66"/>
      <c r="D97" s="103"/>
      <c r="E97" s="103"/>
      <c r="F97" s="26"/>
      <c r="G97" s="26"/>
      <c r="H97" s="106"/>
      <c r="I97" s="66"/>
      <c r="J97" s="103"/>
      <c r="K97" s="103"/>
      <c r="L97" s="109" t="s">
        <v>916</v>
      </c>
    </row>
    <row r="98" spans="2:16">
      <c r="N98" t="s">
        <v>902</v>
      </c>
      <c r="P98">
        <v>160</v>
      </c>
    </row>
    <row r="99" spans="2:16">
      <c r="B99" t="s">
        <v>910</v>
      </c>
      <c r="C99" s="104">
        <v>1</v>
      </c>
      <c r="D99" s="104">
        <v>1</v>
      </c>
      <c r="E99" s="104">
        <v>1</v>
      </c>
      <c r="F99" s="107"/>
      <c r="G99" s="103"/>
      <c r="H99" s="103"/>
      <c r="I99" s="104">
        <v>1</v>
      </c>
      <c r="J99" s="104">
        <v>1</v>
      </c>
      <c r="K99" s="104">
        <v>1</v>
      </c>
      <c r="L99" s="109" t="s">
        <v>919</v>
      </c>
      <c r="N99" t="s">
        <v>901</v>
      </c>
    </row>
    <row r="100" spans="2:16">
      <c r="B100" t="s">
        <v>911</v>
      </c>
      <c r="C100" s="107"/>
      <c r="D100" s="103"/>
      <c r="E100" s="103"/>
      <c r="F100" s="104">
        <v>1</v>
      </c>
      <c r="G100" s="104">
        <v>1</v>
      </c>
      <c r="H100" s="104">
        <v>1</v>
      </c>
      <c r="I100" s="107"/>
      <c r="J100" s="103"/>
      <c r="K100" s="103"/>
      <c r="L100" s="109" t="s">
        <v>919</v>
      </c>
      <c r="O100" t="s">
        <v>903</v>
      </c>
      <c r="P100">
        <v>80</v>
      </c>
    </row>
    <row r="101" spans="2:16"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 s="109" t="s">
        <v>916</v>
      </c>
    </row>
    <row r="104" spans="2:16">
      <c r="B104" t="s">
        <v>904</v>
      </c>
      <c r="C104" s="26"/>
      <c r="D104" s="26"/>
      <c r="E104" s="103"/>
      <c r="F104" s="26"/>
      <c r="G104" s="26"/>
      <c r="H104" s="26"/>
      <c r="I104" s="106"/>
      <c r="J104" s="26"/>
      <c r="K104" s="105"/>
      <c r="L104" s="109" t="s">
        <v>921</v>
      </c>
      <c r="N104" t="s">
        <v>935</v>
      </c>
    </row>
    <row r="105" spans="2:16">
      <c r="B105" t="s">
        <v>905</v>
      </c>
      <c r="C105" s="26"/>
      <c r="D105" s="26"/>
      <c r="E105" s="26"/>
      <c r="F105" s="26"/>
      <c r="G105" s="26"/>
      <c r="H105" s="103"/>
      <c r="I105" s="106"/>
      <c r="J105" s="106"/>
      <c r="K105" s="106"/>
      <c r="L105" s="109" t="s">
        <v>921</v>
      </c>
      <c r="N105">
        <f>(228+114)/2</f>
        <v>171</v>
      </c>
      <c r="O105" t="s">
        <v>936</v>
      </c>
    </row>
    <row r="106" spans="2:16">
      <c r="N106" t="s">
        <v>937</v>
      </c>
    </row>
    <row r="107" spans="2:16">
      <c r="B107" t="s">
        <v>910</v>
      </c>
      <c r="C107" s="104">
        <v>1</v>
      </c>
      <c r="D107" s="107"/>
      <c r="E107" s="103"/>
      <c r="F107" s="104">
        <v>1</v>
      </c>
      <c r="G107" s="108">
        <v>2</v>
      </c>
      <c r="H107" s="104">
        <v>1</v>
      </c>
      <c r="I107" s="104">
        <v>1</v>
      </c>
      <c r="J107" s="107"/>
      <c r="K107" s="103"/>
      <c r="L107" s="109" t="s">
        <v>917</v>
      </c>
    </row>
    <row r="108" spans="2:16">
      <c r="B108" t="s">
        <v>911</v>
      </c>
      <c r="C108" s="104">
        <v>1</v>
      </c>
      <c r="D108" s="108">
        <v>2</v>
      </c>
      <c r="E108" s="104">
        <v>1</v>
      </c>
      <c r="F108" s="104">
        <v>1</v>
      </c>
      <c r="G108" s="107"/>
      <c r="H108" s="103"/>
      <c r="I108" s="104">
        <v>1</v>
      </c>
      <c r="J108" s="108">
        <v>2</v>
      </c>
      <c r="K108" s="104">
        <v>1</v>
      </c>
      <c r="L108" s="109" t="s">
        <v>917</v>
      </c>
      <c r="N108">
        <v>228</v>
      </c>
    </row>
    <row r="109" spans="2:16">
      <c r="C109">
        <v>2</v>
      </c>
      <c r="D109">
        <v>2</v>
      </c>
      <c r="E109">
        <v>1</v>
      </c>
      <c r="F109">
        <v>2</v>
      </c>
      <c r="G109">
        <v>2</v>
      </c>
      <c r="H109">
        <v>1</v>
      </c>
      <c r="I109">
        <v>2</v>
      </c>
      <c r="J109">
        <v>2</v>
      </c>
      <c r="K109">
        <v>1</v>
      </c>
      <c r="L109" s="109" t="s">
        <v>932</v>
      </c>
      <c r="N109">
        <f>N108-N105</f>
        <v>57</v>
      </c>
      <c r="O109" t="s">
        <v>938</v>
      </c>
    </row>
    <row r="110" spans="2:16" ht="17" thickBot="1">
      <c r="N110">
        <v>5</v>
      </c>
      <c r="O110" t="s">
        <v>940</v>
      </c>
    </row>
    <row r="111" spans="2:16">
      <c r="B111" s="47" t="s">
        <v>904</v>
      </c>
      <c r="C111" s="112"/>
      <c r="D111" s="113"/>
      <c r="E111" s="112"/>
      <c r="F111" s="112"/>
      <c r="G111" s="112"/>
      <c r="H111" s="114"/>
      <c r="I111" s="112"/>
      <c r="J111" s="112"/>
      <c r="K111" s="112"/>
      <c r="L111" s="115" t="s">
        <v>915</v>
      </c>
      <c r="N111" s="2">
        <f>N109*N110/2/60</f>
        <v>2.375</v>
      </c>
      <c r="O111" t="s">
        <v>939</v>
      </c>
    </row>
    <row r="112" spans="2:16">
      <c r="B112" s="116" t="s">
        <v>905</v>
      </c>
      <c r="C112" s="117"/>
      <c r="D112" s="117"/>
      <c r="E112" s="117"/>
      <c r="F112" s="118"/>
      <c r="G112" s="119"/>
      <c r="H112" s="119"/>
      <c r="I112" s="117"/>
      <c r="J112" s="118"/>
      <c r="K112" s="119"/>
      <c r="L112" s="120" t="s">
        <v>915</v>
      </c>
      <c r="N112" s="22"/>
    </row>
    <row r="113" spans="2:14">
      <c r="B113" s="116"/>
      <c r="C113" s="93"/>
      <c r="D113" s="93"/>
      <c r="E113" s="93"/>
      <c r="F113" s="93"/>
      <c r="G113" s="93"/>
      <c r="H113" s="93"/>
      <c r="I113" s="93"/>
      <c r="J113" s="93"/>
      <c r="K113" s="93"/>
      <c r="L113" s="120"/>
      <c r="N113" s="2" t="s">
        <v>941</v>
      </c>
    </row>
    <row r="114" spans="2:14">
      <c r="B114" s="116" t="s">
        <v>910</v>
      </c>
      <c r="C114" s="121"/>
      <c r="D114" s="118"/>
      <c r="E114" s="122">
        <v>2</v>
      </c>
      <c r="F114" s="123">
        <v>1</v>
      </c>
      <c r="G114" s="121"/>
      <c r="H114" s="118"/>
      <c r="I114" s="122">
        <v>2</v>
      </c>
      <c r="J114" s="123">
        <v>1</v>
      </c>
      <c r="K114" s="121"/>
      <c r="L114" s="120" t="s">
        <v>922</v>
      </c>
    </row>
    <row r="115" spans="2:14">
      <c r="B115" s="116" t="s">
        <v>911</v>
      </c>
      <c r="C115" s="122">
        <v>2</v>
      </c>
      <c r="D115" s="123">
        <v>1</v>
      </c>
      <c r="E115" s="121"/>
      <c r="F115" s="118"/>
      <c r="G115" s="122">
        <v>2</v>
      </c>
      <c r="H115" s="123">
        <v>1</v>
      </c>
      <c r="I115" s="121"/>
      <c r="J115" s="118"/>
      <c r="K115" s="122">
        <v>2</v>
      </c>
      <c r="L115" s="120" t="s">
        <v>922</v>
      </c>
    </row>
    <row r="116" spans="2:14" ht="17" thickBot="1">
      <c r="B116" s="124" t="s">
        <v>906</v>
      </c>
      <c r="C116" s="49">
        <v>2</v>
      </c>
      <c r="D116" s="49">
        <v>1</v>
      </c>
      <c r="E116" s="49">
        <v>2</v>
      </c>
      <c r="F116" s="49">
        <v>1</v>
      </c>
      <c r="G116" s="49">
        <v>2</v>
      </c>
      <c r="H116" s="49">
        <v>1</v>
      </c>
      <c r="I116" s="49">
        <v>2</v>
      </c>
      <c r="J116" s="49">
        <v>1</v>
      </c>
      <c r="K116" s="49">
        <v>2</v>
      </c>
      <c r="L116" s="125" t="s">
        <v>931</v>
      </c>
    </row>
    <row r="118" spans="2:14">
      <c r="B118" t="s">
        <v>904</v>
      </c>
      <c r="C118" s="26"/>
      <c r="D118" s="103"/>
      <c r="E118" s="103"/>
      <c r="F118" s="26"/>
      <c r="G118" s="26"/>
      <c r="H118" s="26"/>
      <c r="I118" s="106"/>
      <c r="J118" s="103"/>
      <c r="K118" s="105"/>
      <c r="L118" s="109" t="s">
        <v>927</v>
      </c>
    </row>
    <row r="119" spans="2:14">
      <c r="B119" t="s">
        <v>905</v>
      </c>
      <c r="C119" s="26"/>
      <c r="D119" s="26"/>
      <c r="E119" s="26"/>
      <c r="F119" s="26"/>
      <c r="G119" s="103"/>
      <c r="H119" s="103"/>
      <c r="I119" s="106"/>
      <c r="J119" s="106"/>
      <c r="K119" s="106"/>
      <c r="L119" s="109" t="s">
        <v>927</v>
      </c>
    </row>
    <row r="121" spans="2:14">
      <c r="B121" t="s">
        <v>910</v>
      </c>
      <c r="C121" s="107"/>
      <c r="D121" s="103"/>
      <c r="E121" s="103"/>
      <c r="F121" s="108">
        <v>2</v>
      </c>
      <c r="G121" s="104">
        <v>1</v>
      </c>
      <c r="H121" s="104">
        <v>1</v>
      </c>
      <c r="I121" s="107"/>
      <c r="J121" s="103"/>
      <c r="K121" s="103"/>
      <c r="L121" s="109" t="s">
        <v>928</v>
      </c>
    </row>
    <row r="122" spans="2:14">
      <c r="B122" t="s">
        <v>911</v>
      </c>
      <c r="C122" s="108">
        <v>2</v>
      </c>
      <c r="D122" s="104">
        <v>1</v>
      </c>
      <c r="E122" s="104">
        <v>1</v>
      </c>
      <c r="F122" s="107"/>
      <c r="G122" s="103"/>
      <c r="H122" s="103"/>
      <c r="I122" s="108">
        <v>2</v>
      </c>
      <c r="J122" s="104">
        <v>1</v>
      </c>
      <c r="K122" s="104">
        <v>1</v>
      </c>
      <c r="L122" s="109" t="s">
        <v>928</v>
      </c>
    </row>
    <row r="123" spans="2:14">
      <c r="C123">
        <v>2</v>
      </c>
      <c r="D123">
        <v>1</v>
      </c>
      <c r="E123">
        <v>1</v>
      </c>
      <c r="F123">
        <v>2</v>
      </c>
      <c r="G123">
        <v>1</v>
      </c>
      <c r="H123">
        <v>1</v>
      </c>
      <c r="I123">
        <v>2</v>
      </c>
      <c r="J123">
        <v>1</v>
      </c>
      <c r="K123">
        <v>1</v>
      </c>
      <c r="L123" s="109" t="s">
        <v>914</v>
      </c>
    </row>
    <row r="125" spans="2:14">
      <c r="C125" t="s">
        <v>930</v>
      </c>
    </row>
    <row r="126" spans="2:14">
      <c r="B126" t="s">
        <v>904</v>
      </c>
      <c r="C126" s="26"/>
      <c r="D126" s="26"/>
      <c r="E126" s="26"/>
      <c r="F126" s="26"/>
      <c r="G126" s="26"/>
      <c r="H126" s="26"/>
      <c r="I126" s="26"/>
      <c r="J126" s="26"/>
      <c r="K126" s="26"/>
      <c r="L126" s="109" t="s">
        <v>916</v>
      </c>
    </row>
    <row r="127" spans="2:14">
      <c r="B127" t="s">
        <v>905</v>
      </c>
      <c r="C127" s="26"/>
      <c r="D127" s="26"/>
      <c r="E127" s="26"/>
      <c r="F127" s="26"/>
      <c r="G127" s="26"/>
      <c r="H127" s="26"/>
      <c r="I127" s="26"/>
      <c r="J127" s="26"/>
      <c r="K127" s="26"/>
      <c r="L127" s="109" t="s">
        <v>916</v>
      </c>
    </row>
    <row r="128" spans="2:14">
      <c r="B128" t="s">
        <v>912</v>
      </c>
      <c r="C128" s="66"/>
      <c r="D128" s="103"/>
      <c r="E128" s="103"/>
      <c r="F128" s="66"/>
      <c r="G128" s="103"/>
      <c r="H128" s="103"/>
      <c r="I128" s="66"/>
      <c r="J128" s="103"/>
      <c r="K128" s="103"/>
      <c r="L128" s="109" t="s">
        <v>918</v>
      </c>
    </row>
    <row r="129" spans="2:12">
      <c r="B129" t="s">
        <v>913</v>
      </c>
      <c r="C129" s="66"/>
      <c r="D129" s="103"/>
      <c r="E129" s="103"/>
      <c r="F129" s="66"/>
      <c r="G129" s="103"/>
      <c r="H129" s="103"/>
      <c r="I129" s="66"/>
      <c r="J129" s="103"/>
      <c r="K129" s="103"/>
      <c r="L129" s="109" t="s">
        <v>918</v>
      </c>
    </row>
    <row r="131" spans="2:12">
      <c r="B131" t="s">
        <v>910</v>
      </c>
      <c r="C131" s="108">
        <v>2</v>
      </c>
      <c r="D131" s="108">
        <v>2</v>
      </c>
      <c r="E131" s="108">
        <v>2</v>
      </c>
      <c r="F131" s="107"/>
      <c r="G131" s="103">
        <v>1</v>
      </c>
      <c r="H131" s="103">
        <v>1</v>
      </c>
      <c r="I131" s="108">
        <v>2</v>
      </c>
      <c r="J131" s="108">
        <v>2</v>
      </c>
      <c r="K131" s="108">
        <v>2</v>
      </c>
      <c r="L131" s="109" t="s">
        <v>920</v>
      </c>
    </row>
    <row r="132" spans="2:12">
      <c r="B132" t="s">
        <v>911</v>
      </c>
      <c r="C132" s="107"/>
      <c r="D132" s="103">
        <v>1</v>
      </c>
      <c r="E132" s="103">
        <v>1</v>
      </c>
      <c r="F132" s="108">
        <v>2</v>
      </c>
      <c r="G132" s="108">
        <v>2</v>
      </c>
      <c r="H132" s="108">
        <v>2</v>
      </c>
      <c r="I132" s="107"/>
      <c r="J132" s="103">
        <v>1</v>
      </c>
      <c r="K132" s="103">
        <v>1</v>
      </c>
      <c r="L132" s="109" t="s">
        <v>920</v>
      </c>
    </row>
    <row r="133" spans="2:12">
      <c r="C133">
        <v>2</v>
      </c>
      <c r="D133">
        <v>2</v>
      </c>
      <c r="E133">
        <v>2</v>
      </c>
      <c r="F133">
        <v>2</v>
      </c>
      <c r="G133">
        <v>2</v>
      </c>
      <c r="H133">
        <v>2</v>
      </c>
      <c r="I133">
        <v>2</v>
      </c>
      <c r="J133">
        <v>2</v>
      </c>
      <c r="K133">
        <v>2</v>
      </c>
      <c r="L133" s="109" t="s">
        <v>926</v>
      </c>
    </row>
    <row r="135" spans="2:12">
      <c r="B135" t="s">
        <v>904</v>
      </c>
      <c r="C135" s="26"/>
      <c r="D135" s="26"/>
      <c r="E135" s="26"/>
      <c r="F135" s="26"/>
      <c r="G135" s="26"/>
      <c r="H135" s="26"/>
      <c r="I135" s="26"/>
      <c r="J135" s="26"/>
      <c r="K135" s="26"/>
      <c r="L135" s="109" t="s">
        <v>933</v>
      </c>
    </row>
    <row r="136" spans="2:12">
      <c r="B136" t="s">
        <v>905</v>
      </c>
      <c r="C136" s="26"/>
      <c r="D136" s="26"/>
      <c r="E136" s="26"/>
      <c r="F136" s="26"/>
      <c r="G136" s="26"/>
      <c r="H136" s="26"/>
      <c r="I136" s="26"/>
      <c r="J136" s="26"/>
      <c r="K136" s="26"/>
      <c r="L136" s="109" t="s">
        <v>916</v>
      </c>
    </row>
    <row r="137" spans="2:12">
      <c r="B137" t="s">
        <v>924</v>
      </c>
      <c r="C137" s="26"/>
      <c r="D137" s="26"/>
      <c r="E137" s="26"/>
      <c r="F137" s="26"/>
      <c r="G137" s="26"/>
      <c r="H137" s="26"/>
      <c r="I137" s="26"/>
      <c r="J137" s="26"/>
      <c r="K137" s="26"/>
      <c r="L137" s="109" t="s">
        <v>916</v>
      </c>
    </row>
    <row r="138" spans="2:12">
      <c r="B138" t="s">
        <v>912</v>
      </c>
      <c r="C138" s="103"/>
      <c r="D138" s="103"/>
      <c r="E138" s="103"/>
      <c r="F138" s="103"/>
      <c r="G138" s="103"/>
      <c r="H138" s="103"/>
      <c r="I138" s="103"/>
      <c r="J138" s="103"/>
      <c r="K138" s="103"/>
      <c r="L138" s="109" t="s">
        <v>918</v>
      </c>
    </row>
    <row r="139" spans="2:12">
      <c r="B139" t="s">
        <v>913</v>
      </c>
      <c r="C139" s="103"/>
      <c r="D139" s="103"/>
      <c r="E139" s="103"/>
      <c r="F139" s="103"/>
      <c r="G139" s="103"/>
      <c r="H139" s="103"/>
      <c r="I139" s="103"/>
      <c r="J139" s="103"/>
      <c r="K139" s="103"/>
      <c r="L139" s="109" t="s">
        <v>918</v>
      </c>
    </row>
    <row r="140" spans="2:12">
      <c r="B140" t="s">
        <v>923</v>
      </c>
      <c r="C140" s="103"/>
      <c r="D140" s="103"/>
      <c r="E140" s="103"/>
      <c r="F140" s="103"/>
      <c r="G140" s="103"/>
      <c r="H140" s="103"/>
      <c r="I140" s="103"/>
      <c r="J140" s="103"/>
      <c r="K140" s="103"/>
      <c r="L140" s="109" t="s">
        <v>918</v>
      </c>
    </row>
    <row r="142" spans="2:12">
      <c r="B142" t="s">
        <v>910</v>
      </c>
      <c r="C142" s="108">
        <v>1.5</v>
      </c>
      <c r="D142" s="108">
        <v>3</v>
      </c>
      <c r="E142" s="108">
        <v>1.5</v>
      </c>
      <c r="F142" s="107"/>
      <c r="G142" s="103">
        <v>1.5</v>
      </c>
      <c r="H142" s="103">
        <v>1.5</v>
      </c>
      <c r="I142" s="108">
        <v>1.5</v>
      </c>
      <c r="J142" s="108">
        <v>3</v>
      </c>
      <c r="K142" s="108">
        <v>1.5</v>
      </c>
      <c r="L142" s="109" t="s">
        <v>920</v>
      </c>
    </row>
    <row r="143" spans="2:12">
      <c r="B143" t="s">
        <v>911</v>
      </c>
      <c r="C143" s="103">
        <v>1.5</v>
      </c>
      <c r="D143" s="103">
        <v>1.5</v>
      </c>
      <c r="E143" s="108">
        <v>1.5</v>
      </c>
      <c r="F143" s="108">
        <v>3</v>
      </c>
      <c r="G143" s="108">
        <v>1.5</v>
      </c>
      <c r="H143" s="107"/>
      <c r="I143" s="103">
        <v>1.5</v>
      </c>
      <c r="J143" s="103">
        <v>1.5</v>
      </c>
      <c r="K143" s="108">
        <v>1.5</v>
      </c>
      <c r="L143" s="109" t="s">
        <v>920</v>
      </c>
    </row>
    <row r="144" spans="2:12">
      <c r="B144" t="s">
        <v>925</v>
      </c>
      <c r="C144" s="108">
        <v>1.5</v>
      </c>
      <c r="D144" s="107"/>
      <c r="E144" s="103">
        <v>1.5</v>
      </c>
      <c r="F144" s="103">
        <v>1.5</v>
      </c>
      <c r="G144" s="108">
        <v>1.5</v>
      </c>
      <c r="H144" s="108">
        <v>3</v>
      </c>
      <c r="I144" s="108">
        <v>1.5</v>
      </c>
      <c r="J144" s="107"/>
      <c r="K144" s="103">
        <v>1.5</v>
      </c>
      <c r="L144" s="109" t="s">
        <v>920</v>
      </c>
    </row>
    <row r="145" spans="2:12">
      <c r="C145">
        <v>3</v>
      </c>
      <c r="D145">
        <v>3</v>
      </c>
      <c r="E145">
        <v>3</v>
      </c>
      <c r="F145">
        <v>3</v>
      </c>
      <c r="G145">
        <v>3</v>
      </c>
      <c r="H145">
        <v>3</v>
      </c>
      <c r="I145">
        <v>3</v>
      </c>
      <c r="J145">
        <v>3</v>
      </c>
      <c r="K145">
        <v>3</v>
      </c>
    </row>
    <row r="147" spans="2:12">
      <c r="B147" t="s">
        <v>910</v>
      </c>
      <c r="C147" s="108">
        <v>2</v>
      </c>
      <c r="D147" s="108">
        <v>2</v>
      </c>
      <c r="E147" s="108">
        <v>2</v>
      </c>
      <c r="F147" s="107"/>
      <c r="G147" s="103">
        <v>1.5</v>
      </c>
      <c r="H147" s="103">
        <v>1.5</v>
      </c>
      <c r="I147" s="108">
        <v>2</v>
      </c>
      <c r="J147" s="108">
        <v>2</v>
      </c>
      <c r="K147" s="108">
        <v>2</v>
      </c>
      <c r="L147" s="109" t="s">
        <v>920</v>
      </c>
    </row>
    <row r="148" spans="2:12">
      <c r="B148" t="s">
        <v>911</v>
      </c>
      <c r="C148" s="103">
        <v>1.5</v>
      </c>
      <c r="D148" s="103">
        <v>1.5</v>
      </c>
      <c r="E148" s="108">
        <v>2</v>
      </c>
      <c r="F148" s="108">
        <v>2</v>
      </c>
      <c r="G148" s="108">
        <v>2</v>
      </c>
      <c r="H148" s="107"/>
      <c r="I148" s="103">
        <v>1.5</v>
      </c>
      <c r="J148" s="103">
        <v>1.5</v>
      </c>
      <c r="K148" s="108">
        <v>2</v>
      </c>
      <c r="L148" s="109" t="s">
        <v>920</v>
      </c>
    </row>
    <row r="149" spans="2:12">
      <c r="B149" t="s">
        <v>925</v>
      </c>
      <c r="C149" s="108">
        <v>2</v>
      </c>
      <c r="D149" s="107"/>
      <c r="E149" s="103">
        <v>1.5</v>
      </c>
      <c r="F149" s="103">
        <v>1.5</v>
      </c>
      <c r="G149" s="108">
        <v>2</v>
      </c>
      <c r="H149" s="108">
        <v>2</v>
      </c>
      <c r="I149" s="108">
        <v>2</v>
      </c>
      <c r="J149" s="107"/>
      <c r="K149" s="103">
        <v>1.5</v>
      </c>
      <c r="L149" s="109" t="s">
        <v>920</v>
      </c>
    </row>
    <row r="150" spans="2:12">
      <c r="C150">
        <v>4</v>
      </c>
      <c r="D150">
        <v>2</v>
      </c>
      <c r="E150">
        <v>4</v>
      </c>
      <c r="F150">
        <v>2</v>
      </c>
      <c r="G150">
        <v>4</v>
      </c>
      <c r="H150">
        <v>2</v>
      </c>
      <c r="I150">
        <v>4</v>
      </c>
      <c r="J150">
        <v>2</v>
      </c>
      <c r="K150">
        <v>4</v>
      </c>
    </row>
    <row r="153" spans="2:12">
      <c r="C153">
        <v>1.75</v>
      </c>
      <c r="D153">
        <v>2.5</v>
      </c>
      <c r="E153">
        <v>7</v>
      </c>
      <c r="F153">
        <v>10</v>
      </c>
      <c r="G153">
        <v>7</v>
      </c>
      <c r="H153">
        <v>10</v>
      </c>
    </row>
    <row r="154" spans="2:12">
      <c r="C154">
        <v>3.5</v>
      </c>
      <c r="D154">
        <v>2.5</v>
      </c>
      <c r="E154">
        <v>14</v>
      </c>
      <c r="F154">
        <v>10</v>
      </c>
      <c r="G154">
        <v>14</v>
      </c>
      <c r="H154">
        <v>10</v>
      </c>
    </row>
    <row r="156" spans="2:12">
      <c r="C156">
        <v>1.67</v>
      </c>
      <c r="D156">
        <v>2.67</v>
      </c>
      <c r="E156">
        <v>5</v>
      </c>
      <c r="F156">
        <v>8</v>
      </c>
      <c r="G156">
        <v>5</v>
      </c>
      <c r="H156">
        <v>8</v>
      </c>
    </row>
    <row r="157" spans="2:12">
      <c r="C157">
        <v>3.33</v>
      </c>
      <c r="D157">
        <v>2.67</v>
      </c>
      <c r="E157">
        <v>10</v>
      </c>
      <c r="F157">
        <v>8</v>
      </c>
      <c r="G157">
        <v>10</v>
      </c>
      <c r="H157">
        <v>8</v>
      </c>
    </row>
    <row r="161" spans="2:12">
      <c r="B161" t="s">
        <v>904</v>
      </c>
      <c r="C161" s="26"/>
      <c r="D161" s="26"/>
      <c r="E161" s="26"/>
      <c r="F161" s="26"/>
      <c r="G161" s="26"/>
      <c r="H161" s="26"/>
      <c r="I161" s="26"/>
      <c r="J161" s="26"/>
      <c r="K161" s="26"/>
      <c r="L161" s="109" t="s">
        <v>916</v>
      </c>
    </row>
    <row r="162" spans="2:12">
      <c r="B162" t="s">
        <v>905</v>
      </c>
      <c r="C162" s="26"/>
      <c r="D162" s="26"/>
      <c r="E162" s="26"/>
      <c r="F162" s="26"/>
      <c r="G162" s="26"/>
      <c r="H162" s="26"/>
      <c r="I162" s="26"/>
      <c r="J162" s="26"/>
      <c r="K162" s="26"/>
      <c r="L162" s="109" t="s">
        <v>916</v>
      </c>
    </row>
    <row r="163" spans="2:12">
      <c r="B163" t="s">
        <v>912</v>
      </c>
      <c r="C163" s="66"/>
      <c r="D163" s="103"/>
      <c r="E163" s="103"/>
      <c r="F163" s="103"/>
      <c r="G163" s="103"/>
      <c r="I163" s="103"/>
      <c r="J163" s="103"/>
      <c r="K163" s="103"/>
      <c r="L163" s="109" t="s">
        <v>918</v>
      </c>
    </row>
    <row r="164" spans="2:12">
      <c r="B164" t="s">
        <v>913</v>
      </c>
      <c r="C164" s="66"/>
      <c r="D164" s="103"/>
      <c r="E164" s="103"/>
      <c r="F164" s="103"/>
      <c r="G164" s="103"/>
      <c r="I164" s="103"/>
      <c r="J164" s="103"/>
      <c r="K164" s="103"/>
      <c r="L164" s="109" t="s">
        <v>918</v>
      </c>
    </row>
    <row r="166" spans="2:12">
      <c r="B166" t="s">
        <v>910</v>
      </c>
      <c r="C166" s="108">
        <v>1</v>
      </c>
      <c r="D166" s="108">
        <v>2</v>
      </c>
      <c r="E166" s="108">
        <v>2</v>
      </c>
      <c r="F166" s="103">
        <v>1</v>
      </c>
      <c r="G166" s="103">
        <v>1</v>
      </c>
      <c r="H166" s="108">
        <v>1</v>
      </c>
      <c r="I166" s="108">
        <v>2</v>
      </c>
      <c r="J166" s="108">
        <v>2</v>
      </c>
      <c r="K166" s="103">
        <v>1</v>
      </c>
      <c r="L166" s="109" t="s">
        <v>943</v>
      </c>
    </row>
    <row r="167" spans="2:12">
      <c r="B167" t="s">
        <v>911</v>
      </c>
      <c r="C167" s="108">
        <v>1</v>
      </c>
      <c r="D167" s="103">
        <v>1</v>
      </c>
      <c r="E167" s="103">
        <v>1</v>
      </c>
      <c r="F167" s="108">
        <v>2</v>
      </c>
      <c r="G167" s="108">
        <v>2</v>
      </c>
      <c r="H167" s="108">
        <v>1</v>
      </c>
      <c r="I167" s="103">
        <v>1</v>
      </c>
      <c r="J167" s="103">
        <v>1</v>
      </c>
      <c r="K167" s="108">
        <v>2</v>
      </c>
      <c r="L167" s="109" t="s">
        <v>943</v>
      </c>
    </row>
    <row r="168" spans="2:12">
      <c r="C168">
        <v>2</v>
      </c>
      <c r="D168">
        <v>2</v>
      </c>
      <c r="E168">
        <v>2</v>
      </c>
      <c r="F168">
        <v>2</v>
      </c>
      <c r="G168">
        <v>2</v>
      </c>
      <c r="H168">
        <v>2</v>
      </c>
      <c r="I168">
        <v>2</v>
      </c>
      <c r="J168">
        <v>2</v>
      </c>
      <c r="K168">
        <v>2</v>
      </c>
      <c r="L168" s="109" t="s">
        <v>944</v>
      </c>
    </row>
    <row r="171" spans="2:12">
      <c r="B171" t="s">
        <v>904</v>
      </c>
      <c r="C171" s="26"/>
      <c r="D171" s="26"/>
      <c r="E171" s="26"/>
      <c r="F171" s="26"/>
      <c r="G171" s="26"/>
      <c r="H171" s="26"/>
      <c r="I171" s="26"/>
      <c r="J171" s="26"/>
      <c r="K171" s="26"/>
      <c r="L171" s="109" t="s">
        <v>916</v>
      </c>
    </row>
    <row r="172" spans="2:12">
      <c r="B172" t="s">
        <v>905</v>
      </c>
      <c r="C172" s="26"/>
      <c r="D172" s="26"/>
      <c r="E172" s="26"/>
      <c r="F172" s="26"/>
      <c r="G172" s="26"/>
      <c r="H172" s="26"/>
      <c r="I172" s="26"/>
      <c r="J172" s="26"/>
      <c r="K172" s="26"/>
      <c r="L172" s="109" t="s">
        <v>916</v>
      </c>
    </row>
    <row r="173" spans="2:12">
      <c r="B173" t="s">
        <v>912</v>
      </c>
      <c r="C173" s="103"/>
      <c r="E173" s="103"/>
      <c r="F173" s="103"/>
      <c r="H173" s="103"/>
      <c r="I173" s="103"/>
      <c r="K173" s="103"/>
      <c r="L173" s="109" t="s">
        <v>918</v>
      </c>
    </row>
    <row r="174" spans="2:12">
      <c r="B174" t="s">
        <v>913</v>
      </c>
      <c r="C174" s="103"/>
      <c r="E174" s="103"/>
      <c r="F174" s="103"/>
      <c r="H174" s="103"/>
      <c r="I174" s="103"/>
      <c r="K174" s="103"/>
      <c r="L174" s="109" t="s">
        <v>918</v>
      </c>
    </row>
    <row r="176" spans="2:12">
      <c r="B176" t="s">
        <v>910</v>
      </c>
      <c r="C176" s="103">
        <v>2</v>
      </c>
      <c r="D176" s="108">
        <v>1</v>
      </c>
      <c r="E176" s="108">
        <v>2</v>
      </c>
      <c r="F176" s="103">
        <v>2</v>
      </c>
      <c r="G176" s="108">
        <v>1</v>
      </c>
      <c r="H176" s="108">
        <v>2</v>
      </c>
      <c r="I176" s="103">
        <v>2</v>
      </c>
      <c r="J176" s="108">
        <v>1</v>
      </c>
      <c r="K176" s="108">
        <v>2</v>
      </c>
      <c r="L176" s="109" t="s">
        <v>943</v>
      </c>
    </row>
    <row r="177" spans="2:12">
      <c r="B177" t="s">
        <v>911</v>
      </c>
      <c r="C177" s="108">
        <v>2</v>
      </c>
      <c r="D177" s="108">
        <v>1</v>
      </c>
      <c r="E177" s="103">
        <v>2</v>
      </c>
      <c r="F177" s="108">
        <v>2</v>
      </c>
      <c r="G177" s="108">
        <v>1</v>
      </c>
      <c r="H177" s="103">
        <v>2</v>
      </c>
      <c r="I177" s="108">
        <v>2</v>
      </c>
      <c r="J177" s="108">
        <v>1</v>
      </c>
      <c r="K177" s="103">
        <v>2</v>
      </c>
      <c r="L177" s="109" t="s">
        <v>943</v>
      </c>
    </row>
    <row r="178" spans="2:12">
      <c r="C178">
        <v>2</v>
      </c>
      <c r="D178">
        <v>2</v>
      </c>
      <c r="E178">
        <v>2</v>
      </c>
      <c r="F178">
        <v>2</v>
      </c>
      <c r="G178">
        <v>2</v>
      </c>
      <c r="H178">
        <v>2</v>
      </c>
      <c r="I178">
        <v>2</v>
      </c>
      <c r="J178">
        <v>2</v>
      </c>
      <c r="K178">
        <v>2</v>
      </c>
      <c r="L178" s="109" t="s">
        <v>944</v>
      </c>
    </row>
  </sheetData>
  <hyperlinks>
    <hyperlink ref="K4" r:id="rId1" xr:uid="{00000000-0004-0000-0000-000000000000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9AFEC-C5CF-FF49-8E7B-E4151383DB70}">
  <dimension ref="B3:K35"/>
  <sheetViews>
    <sheetView workbookViewId="0">
      <selection activeCell="N24" sqref="N24"/>
    </sheetView>
  </sheetViews>
  <sheetFormatPr baseColWidth="10" defaultRowHeight="16"/>
  <cols>
    <col min="2" max="2" width="12.33203125" customWidth="1"/>
    <col min="10" max="10" width="14.5" customWidth="1"/>
  </cols>
  <sheetData>
    <row r="3" spans="2:10">
      <c r="B3" t="s">
        <v>1082</v>
      </c>
    </row>
    <row r="4" spans="2:10">
      <c r="H4" t="s">
        <v>778</v>
      </c>
    </row>
    <row r="5" spans="2:10">
      <c r="B5" t="s">
        <v>730</v>
      </c>
      <c r="C5">
        <v>0.78</v>
      </c>
      <c r="D5">
        <v>0.78</v>
      </c>
      <c r="E5">
        <v>0.78</v>
      </c>
      <c r="H5" t="s">
        <v>744</v>
      </c>
      <c r="I5">
        <v>0.79</v>
      </c>
      <c r="J5" t="s">
        <v>779</v>
      </c>
    </row>
    <row r="6" spans="2:10">
      <c r="B6" t="s">
        <v>731</v>
      </c>
      <c r="C6">
        <v>0.20899999999999999</v>
      </c>
      <c r="D6">
        <v>0.20899999999999999</v>
      </c>
      <c r="E6">
        <v>0.20899999999999999</v>
      </c>
      <c r="F6" s="75">
        <f>C6*F$10</f>
        <v>0.95000000000000007</v>
      </c>
      <c r="H6" t="s">
        <v>745</v>
      </c>
      <c r="I6">
        <v>0.21</v>
      </c>
      <c r="J6" t="s">
        <v>761</v>
      </c>
    </row>
    <row r="7" spans="2:10">
      <c r="B7" t="s">
        <v>732</v>
      </c>
      <c r="C7">
        <v>8.9999999999999993E-3</v>
      </c>
      <c r="D7">
        <v>8.9999999999999993E-3</v>
      </c>
      <c r="E7">
        <v>8.9999999999999993E-3</v>
      </c>
      <c r="F7" s="75">
        <f t="shared" ref="F7:F8" si="0">C7*F$10</f>
        <v>4.0909090909090909E-2</v>
      </c>
    </row>
    <row r="8" spans="2:10">
      <c r="B8" t="s">
        <v>733</v>
      </c>
      <c r="C8">
        <v>2E-3</v>
      </c>
      <c r="D8">
        <v>2E-3</v>
      </c>
      <c r="E8">
        <v>2E-3</v>
      </c>
      <c r="F8" s="75">
        <f t="shared" si="0"/>
        <v>9.0909090909090922E-3</v>
      </c>
      <c r="I8" s="76">
        <f>C6*F6</f>
        <v>0.19855</v>
      </c>
      <c r="J8" t="s">
        <v>762</v>
      </c>
    </row>
    <row r="9" spans="2:10">
      <c r="C9">
        <f>SUM(C5:C8)</f>
        <v>1</v>
      </c>
      <c r="D9">
        <f>SUM(D5:D8)</f>
        <v>1</v>
      </c>
      <c r="E9">
        <f>SUM(E5:E8)</f>
        <v>1</v>
      </c>
      <c r="F9">
        <f>SUM(C6:C8)</f>
        <v>0.22</v>
      </c>
      <c r="I9" s="76">
        <f>I6-I8</f>
        <v>1.1449999999999988E-2</v>
      </c>
      <c r="J9" t="s">
        <v>763</v>
      </c>
    </row>
    <row r="10" spans="2:10">
      <c r="F10" s="1">
        <f>C9/F9</f>
        <v>4.5454545454545459</v>
      </c>
      <c r="G10" t="s">
        <v>748</v>
      </c>
    </row>
    <row r="13" spans="2:10">
      <c r="B13" t="s">
        <v>753</v>
      </c>
      <c r="C13">
        <v>22</v>
      </c>
      <c r="D13">
        <v>22</v>
      </c>
      <c r="E13">
        <v>22</v>
      </c>
      <c r="F13" t="s">
        <v>736</v>
      </c>
      <c r="G13" t="s">
        <v>754</v>
      </c>
    </row>
    <row r="14" spans="2:10">
      <c r="B14" t="s">
        <v>737</v>
      </c>
      <c r="C14">
        <v>0.7</v>
      </c>
      <c r="D14">
        <v>0.7</v>
      </c>
      <c r="E14">
        <v>0.7</v>
      </c>
      <c r="G14" t="s">
        <v>755</v>
      </c>
    </row>
    <row r="15" spans="2:10">
      <c r="B15" t="s">
        <v>738</v>
      </c>
      <c r="C15">
        <f>C13*C14</f>
        <v>15.399999999999999</v>
      </c>
      <c r="D15">
        <f>D13*D14</f>
        <v>15.399999999999999</v>
      </c>
      <c r="E15">
        <f>E13*E14</f>
        <v>15.399999999999999</v>
      </c>
      <c r="F15" t="s">
        <v>736</v>
      </c>
      <c r="G15" t="s">
        <v>749</v>
      </c>
    </row>
    <row r="17" spans="2:11">
      <c r="B17" t="s">
        <v>739</v>
      </c>
      <c r="C17">
        <v>1.8</v>
      </c>
      <c r="D17">
        <v>10</v>
      </c>
      <c r="E17">
        <v>10</v>
      </c>
      <c r="F17" t="s">
        <v>5</v>
      </c>
    </row>
    <row r="18" spans="2:11">
      <c r="B18" t="s">
        <v>740</v>
      </c>
      <c r="C18">
        <f>C15*C17</f>
        <v>27.72</v>
      </c>
      <c r="D18">
        <f>D15*D17</f>
        <v>154</v>
      </c>
      <c r="E18">
        <f>E15*E17</f>
        <v>154</v>
      </c>
      <c r="F18" t="s">
        <v>355</v>
      </c>
      <c r="G18" t="s">
        <v>750</v>
      </c>
    </row>
    <row r="20" spans="2:11">
      <c r="B20" t="s">
        <v>742</v>
      </c>
      <c r="C20">
        <v>33.33</v>
      </c>
      <c r="D20">
        <v>100</v>
      </c>
      <c r="E20">
        <v>50</v>
      </c>
      <c r="F20" t="s">
        <v>17</v>
      </c>
    </row>
    <row r="21" spans="2:11">
      <c r="B21" t="s">
        <v>743</v>
      </c>
      <c r="C21">
        <v>1</v>
      </c>
      <c r="D21">
        <v>1</v>
      </c>
      <c r="E21">
        <v>1</v>
      </c>
      <c r="G21" t="s">
        <v>751</v>
      </c>
    </row>
    <row r="22" spans="2:11">
      <c r="B22" t="s">
        <v>741</v>
      </c>
      <c r="C22" s="2">
        <f>C20/C21/(1-$I5)</f>
        <v>158.71428571428572</v>
      </c>
      <c r="D22" s="2">
        <f>D20/D21/(1-$I5)</f>
        <v>476.19047619047626</v>
      </c>
      <c r="E22" s="2">
        <f>E20/E21/(1-$I5)</f>
        <v>238.09523809523813</v>
      </c>
      <c r="F22" t="s">
        <v>17</v>
      </c>
      <c r="G22" t="s">
        <v>759</v>
      </c>
    </row>
    <row r="23" spans="2:11">
      <c r="B23" t="s">
        <v>756</v>
      </c>
      <c r="C23" s="2">
        <f>C22*(C28/60)</f>
        <v>35.088607594936704</v>
      </c>
      <c r="D23" s="2">
        <f>D22*(D28/60)</f>
        <v>194.9367088607595</v>
      </c>
      <c r="E23" s="2">
        <f>E22*(E28/60)</f>
        <v>194.9367088607595</v>
      </c>
      <c r="F23" t="s">
        <v>757</v>
      </c>
      <c r="G23" t="s">
        <v>758</v>
      </c>
    </row>
    <row r="24" spans="2:11">
      <c r="B24" t="s">
        <v>771</v>
      </c>
      <c r="C24" s="2">
        <f>C20*(C28/60)</f>
        <v>7.3686075949367078</v>
      </c>
      <c r="D24" s="2">
        <f>D20*(D28/60)</f>
        <v>40.936708860759488</v>
      </c>
      <c r="E24" s="2">
        <f>E20*(E28/60)</f>
        <v>40.936708860759488</v>
      </c>
      <c r="F24" t="s">
        <v>355</v>
      </c>
      <c r="G24" t="s">
        <v>777</v>
      </c>
    </row>
    <row r="25" spans="2:11">
      <c r="B25" t="s">
        <v>772</v>
      </c>
      <c r="C25" s="2">
        <f>C24/C21-C24</f>
        <v>0</v>
      </c>
      <c r="D25" s="2">
        <f>D24/D21-D24</f>
        <v>0</v>
      </c>
      <c r="E25" s="2">
        <f>E24/E21-E24</f>
        <v>0</v>
      </c>
      <c r="F25" t="s">
        <v>355</v>
      </c>
      <c r="G25" t="s">
        <v>776</v>
      </c>
      <c r="K25" t="s">
        <v>780</v>
      </c>
    </row>
    <row r="26" spans="2:11">
      <c r="C26" s="2"/>
      <c r="D26" s="2"/>
      <c r="E26" s="2"/>
    </row>
    <row r="27" spans="2:11">
      <c r="B27" t="s">
        <v>746</v>
      </c>
      <c r="C27" s="2">
        <f>C22*$I5</f>
        <v>125.38428571428572</v>
      </c>
      <c r="D27" s="2">
        <f>D22*$I5</f>
        <v>376.19047619047626</v>
      </c>
      <c r="E27" s="2">
        <f>E22*$I5</f>
        <v>188.09523809523813</v>
      </c>
      <c r="F27" t="s">
        <v>17</v>
      </c>
      <c r="G27" t="s">
        <v>765</v>
      </c>
    </row>
    <row r="28" spans="2:11">
      <c r="B28" t="s">
        <v>747</v>
      </c>
      <c r="C28" s="2">
        <f>C18/C27*60</f>
        <v>13.264820152901365</v>
      </c>
      <c r="D28" s="2">
        <f>D18/D27*60</f>
        <v>24.562025316455692</v>
      </c>
      <c r="E28" s="2">
        <f>E18/E27*60</f>
        <v>49.124050632911384</v>
      </c>
      <c r="F28" t="s">
        <v>362</v>
      </c>
      <c r="G28" t="s">
        <v>760</v>
      </c>
    </row>
    <row r="31" spans="2:11">
      <c r="B31" t="s">
        <v>752</v>
      </c>
      <c r="C31" s="2">
        <f>C18/(C28/60)</f>
        <v>125.38428571428572</v>
      </c>
      <c r="D31" s="2">
        <f>D18/(D28/60)</f>
        <v>376.19047619047626</v>
      </c>
      <c r="E31" s="2">
        <f>E18/(E28/60)</f>
        <v>188.09523809523813</v>
      </c>
      <c r="F31" t="s">
        <v>17</v>
      </c>
      <c r="G31" t="s">
        <v>764</v>
      </c>
    </row>
    <row r="33" spans="3:6">
      <c r="C33" s="2">
        <f>C23-C18</f>
        <v>7.3686075949367051</v>
      </c>
      <c r="D33" s="2">
        <f>D23-D18</f>
        <v>40.936708860759495</v>
      </c>
      <c r="E33" s="2">
        <f>E23-E18</f>
        <v>40.936708860759495</v>
      </c>
      <c r="F33" t="s">
        <v>773</v>
      </c>
    </row>
    <row r="34" spans="3:6">
      <c r="C34" s="2">
        <f>C33*C21</f>
        <v>7.3686075949367051</v>
      </c>
      <c r="D34" s="2">
        <f>D33*D21</f>
        <v>40.936708860759495</v>
      </c>
      <c r="E34" s="2">
        <f>E33*E21</f>
        <v>40.936708860759495</v>
      </c>
      <c r="F34" t="s">
        <v>774</v>
      </c>
    </row>
    <row r="35" spans="3:6">
      <c r="C35" s="2">
        <f>C33-C34</f>
        <v>0</v>
      </c>
      <c r="D35" s="2">
        <f>D33-D34</f>
        <v>0</v>
      </c>
      <c r="E35" s="2">
        <f>E33-E34</f>
        <v>0</v>
      </c>
      <c r="F35" t="s">
        <v>775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A8A5-285A-BE41-9AEE-9F55011C8CBA}">
  <dimension ref="A3:Q47"/>
  <sheetViews>
    <sheetView workbookViewId="0">
      <selection activeCell="E25" sqref="E25"/>
    </sheetView>
  </sheetViews>
  <sheetFormatPr baseColWidth="10" defaultRowHeight="16"/>
  <cols>
    <col min="2" max="2" width="13" customWidth="1"/>
    <col min="3" max="3" width="14" customWidth="1"/>
    <col min="4" max="6" width="12.5" style="3" customWidth="1"/>
    <col min="7" max="7" width="12.6640625" style="3" customWidth="1"/>
    <col min="8" max="8" width="20.5" style="3" customWidth="1"/>
    <col min="9" max="9" width="13.83203125" style="3" customWidth="1"/>
  </cols>
  <sheetData>
    <row r="3" spans="1:17">
      <c r="D3" s="3" t="s">
        <v>1105</v>
      </c>
      <c r="F3"/>
      <c r="G3"/>
      <c r="H3"/>
      <c r="I3"/>
    </row>
    <row r="4" spans="1:17">
      <c r="B4" s="3" t="s">
        <v>1084</v>
      </c>
      <c r="D4">
        <v>70</v>
      </c>
      <c r="E4" t="s">
        <v>1086</v>
      </c>
      <c r="F4"/>
      <c r="G4"/>
      <c r="M4" t="s">
        <v>1104</v>
      </c>
    </row>
    <row r="5" spans="1:17">
      <c r="B5" t="s">
        <v>1092</v>
      </c>
      <c r="C5" t="s">
        <v>1093</v>
      </c>
      <c r="D5"/>
      <c r="E5"/>
      <c r="F5"/>
      <c r="G5"/>
      <c r="N5" s="3" t="s">
        <v>793</v>
      </c>
      <c r="O5" s="3" t="s">
        <v>791</v>
      </c>
      <c r="P5" s="3" t="s">
        <v>794</v>
      </c>
      <c r="Q5" s="3" t="s">
        <v>804</v>
      </c>
    </row>
    <row r="6" spans="1:17">
      <c r="E6"/>
      <c r="F6"/>
      <c r="G6"/>
      <c r="M6" t="s">
        <v>809</v>
      </c>
      <c r="N6" s="77" t="s">
        <v>811</v>
      </c>
      <c r="O6" s="77" t="s">
        <v>812</v>
      </c>
      <c r="P6" s="77" t="s">
        <v>813</v>
      </c>
      <c r="Q6" s="77" t="s">
        <v>810</v>
      </c>
    </row>
    <row r="7" spans="1:17">
      <c r="B7" s="146">
        <v>25</v>
      </c>
      <c r="C7" s="146">
        <v>100</v>
      </c>
      <c r="D7" t="s">
        <v>1102</v>
      </c>
      <c r="E7"/>
      <c r="F7"/>
      <c r="G7"/>
      <c r="M7" t="s">
        <v>792</v>
      </c>
      <c r="N7" s="3">
        <v>10</v>
      </c>
      <c r="O7" s="3" t="s">
        <v>806</v>
      </c>
      <c r="P7" s="3" t="s">
        <v>805</v>
      </c>
      <c r="Q7" s="3">
        <v>100</v>
      </c>
    </row>
    <row r="8" spans="1:17">
      <c r="B8" s="3">
        <v>360</v>
      </c>
      <c r="C8" s="3">
        <v>1440</v>
      </c>
      <c r="D8" t="s">
        <v>1103</v>
      </c>
      <c r="G8"/>
      <c r="M8" t="s">
        <v>790</v>
      </c>
      <c r="N8" s="3" t="s">
        <v>795</v>
      </c>
      <c r="O8" s="3" t="s">
        <v>796</v>
      </c>
      <c r="P8" s="3" t="s">
        <v>802</v>
      </c>
      <c r="Q8" s="3" t="s">
        <v>803</v>
      </c>
    </row>
    <row r="9" spans="1:17">
      <c r="B9" s="3" t="s">
        <v>1101</v>
      </c>
      <c r="C9" s="3" t="s">
        <v>1083</v>
      </c>
      <c r="D9" s="3" t="s">
        <v>1090</v>
      </c>
      <c r="G9"/>
      <c r="M9" t="s">
        <v>789</v>
      </c>
      <c r="N9" s="3" t="s">
        <v>799</v>
      </c>
      <c r="O9" s="3" t="s">
        <v>798</v>
      </c>
      <c r="P9" s="3" t="s">
        <v>801</v>
      </c>
      <c r="Q9" s="3" t="s">
        <v>797</v>
      </c>
    </row>
    <row r="10" spans="1:17">
      <c r="B10" s="3">
        <v>2.5</v>
      </c>
      <c r="C10" s="3">
        <v>15</v>
      </c>
      <c r="D10" s="3" t="s">
        <v>1085</v>
      </c>
      <c r="E10"/>
      <c r="F10"/>
      <c r="G10"/>
      <c r="N10" s="3"/>
      <c r="O10" s="3"/>
      <c r="P10" s="3"/>
      <c r="Q10" s="3"/>
    </row>
    <row r="11" spans="1:17">
      <c r="F11"/>
      <c r="G11"/>
      <c r="M11" t="s">
        <v>787</v>
      </c>
      <c r="N11" s="3">
        <v>50</v>
      </c>
      <c r="O11" s="3">
        <v>130</v>
      </c>
      <c r="P11" s="3">
        <v>260</v>
      </c>
      <c r="Q11" s="3">
        <v>800</v>
      </c>
    </row>
    <row r="12" spans="1:17">
      <c r="B12" s="3">
        <v>300</v>
      </c>
      <c r="C12" s="3">
        <v>500</v>
      </c>
      <c r="D12" t="s">
        <v>1100</v>
      </c>
      <c r="E12"/>
      <c r="F12"/>
      <c r="G12"/>
      <c r="M12" t="s">
        <v>788</v>
      </c>
      <c r="N12" s="3">
        <v>50</v>
      </c>
      <c r="O12" s="3">
        <v>110</v>
      </c>
      <c r="P12" s="3">
        <v>130</v>
      </c>
      <c r="Q12" s="3">
        <v>260</v>
      </c>
    </row>
    <row r="13" spans="1:17">
      <c r="B13" s="3">
        <v>300</v>
      </c>
      <c r="C13" s="3">
        <v>500</v>
      </c>
      <c r="D13" s="25" t="s">
        <v>1099</v>
      </c>
      <c r="E13"/>
      <c r="F13"/>
      <c r="G13"/>
      <c r="M13" t="s">
        <v>789</v>
      </c>
      <c r="N13" s="3">
        <v>50</v>
      </c>
      <c r="O13" s="3">
        <v>160</v>
      </c>
      <c r="P13" s="3">
        <v>220</v>
      </c>
      <c r="Q13" s="3">
        <v>500</v>
      </c>
    </row>
    <row r="14" spans="1:17">
      <c r="B14" s="3">
        <v>220</v>
      </c>
      <c r="C14" s="3">
        <v>300</v>
      </c>
      <c r="D14" s="25" t="s">
        <v>1098</v>
      </c>
      <c r="E14"/>
      <c r="F14"/>
      <c r="G14"/>
      <c r="M14" t="s">
        <v>790</v>
      </c>
      <c r="N14" s="3">
        <v>30</v>
      </c>
      <c r="O14" s="3">
        <v>90</v>
      </c>
      <c r="P14" s="3">
        <v>150</v>
      </c>
      <c r="Q14" s="3">
        <v>450</v>
      </c>
    </row>
    <row r="15" spans="1:17">
      <c r="A15">
        <v>800</v>
      </c>
      <c r="B15" s="3">
        <v>250</v>
      </c>
      <c r="C15" s="3">
        <v>1200</v>
      </c>
      <c r="D15" s="25" t="s">
        <v>1106</v>
      </c>
      <c r="E15"/>
      <c r="F15"/>
      <c r="G15"/>
      <c r="N15" s="3"/>
      <c r="O15" s="3"/>
      <c r="P15" s="3"/>
      <c r="Q15" s="3"/>
    </row>
    <row r="16" spans="1:17">
      <c r="B16" s="3">
        <v>400</v>
      </c>
      <c r="C16" s="3">
        <v>800</v>
      </c>
      <c r="D16" t="s">
        <v>1089</v>
      </c>
      <c r="E16"/>
      <c r="F16"/>
      <c r="G16"/>
      <c r="N16" s="3">
        <f>SUM(N11:N15)</f>
        <v>180</v>
      </c>
      <c r="O16" s="3">
        <f>SUM(O11:O15)</f>
        <v>490</v>
      </c>
      <c r="P16" s="3">
        <f>SUM(P11:P15)</f>
        <v>760</v>
      </c>
      <c r="Q16" s="3">
        <f>SUM(Q11:Q15)</f>
        <v>2010</v>
      </c>
    </row>
    <row r="17" spans="1:17">
      <c r="B17" s="3">
        <v>500</v>
      </c>
      <c r="C17" s="3">
        <v>1000</v>
      </c>
      <c r="D17" t="s">
        <v>1088</v>
      </c>
      <c r="E17"/>
      <c r="F17"/>
      <c r="G17"/>
      <c r="M17" t="s">
        <v>800</v>
      </c>
      <c r="N17" s="3">
        <v>200</v>
      </c>
      <c r="O17" s="3">
        <v>500</v>
      </c>
      <c r="P17" s="3">
        <v>800</v>
      </c>
      <c r="Q17" s="3">
        <v>1000</v>
      </c>
    </row>
    <row r="18" spans="1:17">
      <c r="B18" s="3">
        <v>200</v>
      </c>
      <c r="C18" s="3">
        <v>400</v>
      </c>
      <c r="D18" t="s">
        <v>145</v>
      </c>
      <c r="E18"/>
      <c r="F18"/>
      <c r="G18"/>
      <c r="N18" s="3">
        <v>2</v>
      </c>
      <c r="O18" s="3">
        <v>2</v>
      </c>
      <c r="P18" s="3">
        <v>2</v>
      </c>
      <c r="Q18" s="3">
        <v>2</v>
      </c>
    </row>
    <row r="19" spans="1:17">
      <c r="B19" s="3">
        <v>200</v>
      </c>
      <c r="C19" s="3">
        <v>150</v>
      </c>
      <c r="D19" t="s">
        <v>1111</v>
      </c>
      <c r="E19"/>
      <c r="F19"/>
      <c r="G19"/>
      <c r="N19" s="3">
        <f>(N16+N17) * N18</f>
        <v>760</v>
      </c>
      <c r="O19" s="3">
        <f t="shared" ref="O19:Q19" si="0">(O16+O17) * O18</f>
        <v>1980</v>
      </c>
      <c r="P19" s="3">
        <f t="shared" si="0"/>
        <v>3120</v>
      </c>
      <c r="Q19" s="3">
        <f t="shared" si="0"/>
        <v>6020</v>
      </c>
    </row>
    <row r="20" spans="1:17">
      <c r="B20" s="3">
        <v>200</v>
      </c>
      <c r="C20" s="3">
        <v>500</v>
      </c>
      <c r="D20" t="s">
        <v>1087</v>
      </c>
      <c r="E20"/>
      <c r="F20"/>
      <c r="G20"/>
      <c r="N20" s="3"/>
      <c r="O20" s="3"/>
      <c r="P20" s="3"/>
      <c r="Q20" s="3"/>
    </row>
    <row r="21" spans="1:17">
      <c r="B21" s="3">
        <v>500</v>
      </c>
      <c r="C21" s="3">
        <v>500</v>
      </c>
      <c r="D21" t="s">
        <v>1112</v>
      </c>
      <c r="E21"/>
      <c r="F21"/>
      <c r="G21"/>
      <c r="N21" s="3"/>
      <c r="O21" s="3"/>
      <c r="P21" s="3"/>
      <c r="Q21" s="3"/>
    </row>
    <row r="22" spans="1:17">
      <c r="B22" s="81">
        <f>B10*$D4</f>
        <v>175</v>
      </c>
      <c r="C22" s="3">
        <f>C10*$D4</f>
        <v>1050</v>
      </c>
      <c r="D22" t="s">
        <v>790</v>
      </c>
      <c r="E22"/>
      <c r="F22"/>
      <c r="G22"/>
      <c r="M22" t="s">
        <v>807</v>
      </c>
      <c r="N22" s="3">
        <v>40</v>
      </c>
      <c r="O22" s="3">
        <v>100</v>
      </c>
      <c r="P22" s="3">
        <v>200</v>
      </c>
      <c r="Q22" s="3">
        <v>350</v>
      </c>
    </row>
    <row r="23" spans="1:17">
      <c r="B23" s="81">
        <v>200</v>
      </c>
      <c r="C23" s="3">
        <v>800</v>
      </c>
      <c r="D23" t="s">
        <v>1091</v>
      </c>
      <c r="E23"/>
      <c r="F23"/>
      <c r="G23"/>
      <c r="M23" t="s">
        <v>808</v>
      </c>
      <c r="N23" s="3">
        <v>40</v>
      </c>
      <c r="O23" s="3">
        <v>48</v>
      </c>
      <c r="P23" s="3">
        <v>100</v>
      </c>
      <c r="Q23" s="3">
        <v>200</v>
      </c>
    </row>
    <row r="24" spans="1:17">
      <c r="B24" s="81">
        <f>SUM(B12:B23)</f>
        <v>3445</v>
      </c>
      <c r="C24" s="81">
        <f>SUM(C12:C23)</f>
        <v>7700</v>
      </c>
      <c r="D24" t="s">
        <v>1094</v>
      </c>
      <c r="E24"/>
      <c r="F24"/>
      <c r="G24"/>
      <c r="M24" s="3"/>
      <c r="N24" s="3"/>
    </row>
    <row r="25" spans="1:17">
      <c r="E25"/>
      <c r="F25"/>
      <c r="G25"/>
    </row>
    <row r="26" spans="1:17">
      <c r="E26"/>
      <c r="F26"/>
      <c r="G26"/>
    </row>
    <row r="27" spans="1:17">
      <c r="A27" t="s">
        <v>787</v>
      </c>
      <c r="B27" s="3">
        <f>B12+B13+B14</f>
        <v>820</v>
      </c>
      <c r="C27" s="3">
        <f>C12+C13+C14</f>
        <v>1300</v>
      </c>
      <c r="E27"/>
      <c r="F27"/>
      <c r="G27"/>
    </row>
    <row r="28" spans="1:17">
      <c r="A28" t="s">
        <v>1106</v>
      </c>
      <c r="B28" s="3">
        <f>B15</f>
        <v>250</v>
      </c>
      <c r="C28" s="3">
        <f>C15</f>
        <v>1200</v>
      </c>
      <c r="E28"/>
      <c r="F28"/>
      <c r="G28"/>
    </row>
    <row r="29" spans="1:17">
      <c r="A29" s="25" t="s">
        <v>1113</v>
      </c>
      <c r="B29" s="3">
        <f>B17+B18+B19+B20+B22</f>
        <v>1275</v>
      </c>
      <c r="C29" s="3">
        <f>C17+C18+C19+C20+C22</f>
        <v>3100</v>
      </c>
    </row>
    <row r="30" spans="1:17">
      <c r="A30" s="25" t="s">
        <v>1110</v>
      </c>
      <c r="B30" s="3">
        <f>B16+B23+B21</f>
        <v>1100</v>
      </c>
      <c r="C30" s="3">
        <f>C16+C23+C21</f>
        <v>2100</v>
      </c>
    </row>
    <row r="31" spans="1:17">
      <c r="B31" s="3">
        <f>SUM(B27:B30)</f>
        <v>3445</v>
      </c>
      <c r="C31" s="3">
        <f>SUM(C27:C30)</f>
        <v>7700</v>
      </c>
    </row>
    <row r="33" spans="3:4">
      <c r="D33" t="s">
        <v>1114</v>
      </c>
    </row>
    <row r="34" spans="3:4">
      <c r="C34" s="3">
        <v>270</v>
      </c>
      <c r="D34" t="s">
        <v>36</v>
      </c>
    </row>
    <row r="35" spans="3:4">
      <c r="C35" s="3">
        <v>200</v>
      </c>
      <c r="D35" s="25" t="s">
        <v>1117</v>
      </c>
    </row>
    <row r="36" spans="3:4">
      <c r="C36" s="3">
        <v>100</v>
      </c>
      <c r="D36" s="25" t="s">
        <v>1115</v>
      </c>
    </row>
    <row r="37" spans="3:4">
      <c r="C37" s="3">
        <v>800</v>
      </c>
      <c r="D37" s="25" t="s">
        <v>1121</v>
      </c>
    </row>
    <row r="38" spans="3:4">
      <c r="C38" s="3">
        <v>500</v>
      </c>
      <c r="D38" t="s">
        <v>1116</v>
      </c>
    </row>
    <row r="39" spans="3:4">
      <c r="C39" s="3">
        <v>500</v>
      </c>
      <c r="D39" t="s">
        <v>1088</v>
      </c>
    </row>
    <row r="40" spans="3:4">
      <c r="C40" s="3">
        <v>120</v>
      </c>
      <c r="D40" t="s">
        <v>145</v>
      </c>
    </row>
    <row r="41" spans="3:4">
      <c r="C41" s="3">
        <v>200</v>
      </c>
      <c r="D41" t="s">
        <v>1118</v>
      </c>
    </row>
    <row r="42" spans="3:4">
      <c r="C42" s="3">
        <v>120</v>
      </c>
      <c r="D42" t="s">
        <v>1087</v>
      </c>
    </row>
    <row r="43" spans="3:4">
      <c r="C43" s="3">
        <v>300</v>
      </c>
      <c r="D43" t="s">
        <v>1119</v>
      </c>
    </row>
    <row r="44" spans="3:4">
      <c r="C44" s="3">
        <v>800</v>
      </c>
      <c r="D44" t="s">
        <v>1112</v>
      </c>
    </row>
    <row r="45" spans="3:4">
      <c r="C45" s="3">
        <v>250</v>
      </c>
      <c r="D45" t="s">
        <v>790</v>
      </c>
    </row>
    <row r="46" spans="3:4">
      <c r="C46" s="3">
        <v>800</v>
      </c>
      <c r="D46" t="s">
        <v>1120</v>
      </c>
    </row>
    <row r="47" spans="3:4">
      <c r="C47" s="81">
        <f>SUM(C34:C46)</f>
        <v>4960</v>
      </c>
      <c r="D47" t="s">
        <v>1094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0ED8-79C6-3E4B-9C1C-705B81C0F61B}">
  <dimension ref="B8:E24"/>
  <sheetViews>
    <sheetView workbookViewId="0">
      <selection activeCell="E28" sqref="E28"/>
    </sheetView>
  </sheetViews>
  <sheetFormatPr baseColWidth="10" defaultRowHeight="16"/>
  <sheetData>
    <row r="8" spans="2:4">
      <c r="B8" t="s">
        <v>379</v>
      </c>
      <c r="C8">
        <v>200</v>
      </c>
      <c r="D8" t="s">
        <v>374</v>
      </c>
    </row>
    <row r="9" spans="2:4">
      <c r="B9" t="s">
        <v>380</v>
      </c>
      <c r="C9">
        <v>2.5</v>
      </c>
      <c r="D9" t="s">
        <v>375</v>
      </c>
    </row>
    <row r="10" spans="2:4">
      <c r="B10" t="s">
        <v>382</v>
      </c>
      <c r="C10">
        <v>0.55000000000000004</v>
      </c>
      <c r="D10" t="s">
        <v>377</v>
      </c>
    </row>
    <row r="11" spans="2:4">
      <c r="B11" t="s">
        <v>2</v>
      </c>
      <c r="C11">
        <v>400</v>
      </c>
      <c r="D11" t="s">
        <v>377</v>
      </c>
    </row>
    <row r="13" spans="2:4">
      <c r="B13" t="s">
        <v>381</v>
      </c>
      <c r="C13" s="2">
        <f>C8/C9</f>
        <v>80</v>
      </c>
      <c r="D13" t="s">
        <v>376</v>
      </c>
    </row>
    <row r="14" spans="2:4">
      <c r="B14" t="s">
        <v>383</v>
      </c>
      <c r="C14" s="22">
        <f>PI()*C10^2</f>
        <v>0.9503317777109126</v>
      </c>
      <c r="D14" t="s">
        <v>378</v>
      </c>
    </row>
    <row r="15" spans="2:4">
      <c r="B15" t="s">
        <v>384</v>
      </c>
      <c r="C15" s="29">
        <f>(C13*1000/C14)/60</f>
        <v>1403.018782077314</v>
      </c>
      <c r="D15" t="s">
        <v>385</v>
      </c>
    </row>
    <row r="16" spans="2:4">
      <c r="B16" t="s">
        <v>386</v>
      </c>
      <c r="C16" s="1">
        <f>C11/C15</f>
        <v>0.28509953331327381</v>
      </c>
      <c r="D16" t="s">
        <v>362</v>
      </c>
    </row>
    <row r="17" spans="2:5">
      <c r="B17" t="s">
        <v>387</v>
      </c>
      <c r="C17" s="29">
        <f>2*PI()*C10*C11</f>
        <v>1382.3007675795091</v>
      </c>
      <c r="D17" t="s">
        <v>378</v>
      </c>
    </row>
    <row r="19" spans="2:5">
      <c r="B19" t="s">
        <v>391</v>
      </c>
      <c r="C19">
        <f>C9*1.1644</f>
        <v>2.9110000000000005</v>
      </c>
      <c r="D19" t="s">
        <v>4</v>
      </c>
    </row>
    <row r="20" spans="2:5">
      <c r="B20" t="s">
        <v>390</v>
      </c>
      <c r="C20" s="32">
        <v>1.9830000000000002E-5</v>
      </c>
      <c r="D20" t="s">
        <v>393</v>
      </c>
      <c r="E20" s="32"/>
    </row>
    <row r="21" spans="2:5">
      <c r="B21" t="s">
        <v>388</v>
      </c>
      <c r="C21" s="31">
        <f>C20/C19</f>
        <v>6.8120920645826168E-6</v>
      </c>
      <c r="D21" t="s">
        <v>394</v>
      </c>
      <c r="E21" t="s">
        <v>395</v>
      </c>
    </row>
    <row r="22" spans="2:5">
      <c r="B22" t="s">
        <v>355</v>
      </c>
      <c r="C22">
        <f>C10/100</f>
        <v>5.5000000000000005E-3</v>
      </c>
      <c r="D22" t="s">
        <v>392</v>
      </c>
    </row>
    <row r="23" spans="2:5">
      <c r="B23" t="s">
        <v>389</v>
      </c>
      <c r="C23" s="33">
        <f>(C10/100) * (C15/100) * C21</f>
        <v>5.2566212115170818E-7</v>
      </c>
    </row>
    <row r="24" spans="2:5">
      <c r="C24" s="3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E24"/>
  <sheetViews>
    <sheetView workbookViewId="0">
      <selection activeCell="G24" sqref="G24"/>
    </sheetView>
  </sheetViews>
  <sheetFormatPr baseColWidth="10" defaultRowHeight="16"/>
  <sheetData>
    <row r="5" spans="3:5">
      <c r="C5" t="s">
        <v>232</v>
      </c>
    </row>
    <row r="6" spans="3:5">
      <c r="C6" t="s">
        <v>233</v>
      </c>
    </row>
    <row r="7" spans="3:5">
      <c r="C7" t="s">
        <v>234</v>
      </c>
    </row>
    <row r="11" spans="3:5">
      <c r="C11">
        <v>28.317</v>
      </c>
    </row>
    <row r="12" spans="3:5">
      <c r="C12" t="s">
        <v>236</v>
      </c>
      <c r="D12">
        <v>50</v>
      </c>
      <c r="E12">
        <v>85</v>
      </c>
    </row>
    <row r="13" spans="3:5">
      <c r="C13" t="s">
        <v>235</v>
      </c>
      <c r="D13" s="1">
        <f>D12/$C11</f>
        <v>1.7657237701733941</v>
      </c>
      <c r="E13" s="1">
        <f>E12/$C11</f>
        <v>3.0017304092947699</v>
      </c>
    </row>
    <row r="15" spans="3:5">
      <c r="C15" t="s">
        <v>237</v>
      </c>
      <c r="D15">
        <v>200</v>
      </c>
      <c r="E15">
        <v>200</v>
      </c>
    </row>
    <row r="16" spans="3:5">
      <c r="C16" t="s">
        <v>238</v>
      </c>
      <c r="D16" s="2">
        <f>D13*D15/3</f>
        <v>117.71491801155962</v>
      </c>
      <c r="E16" s="2">
        <f>E13*E15/3</f>
        <v>200.11536061965134</v>
      </c>
    </row>
    <row r="24" spans="3:3">
      <c r="C24">
        <f>17/25.4</f>
        <v>0.6692913385826772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30"/>
  <sheetViews>
    <sheetView workbookViewId="0">
      <selection activeCell="J21" sqref="J21"/>
    </sheetView>
  </sheetViews>
  <sheetFormatPr baseColWidth="10" defaultRowHeight="16"/>
  <cols>
    <col min="1" max="1" width="2.83203125" customWidth="1"/>
    <col min="3" max="3" width="10.83203125" style="3"/>
    <col min="4" max="4" width="12.6640625" style="3" customWidth="1"/>
    <col min="5" max="6" width="11.6640625" style="3" customWidth="1"/>
  </cols>
  <sheetData>
    <row r="2" spans="2:20">
      <c r="C2" s="4" t="s">
        <v>23</v>
      </c>
    </row>
    <row r="3" spans="2:20" s="7" customFormat="1" ht="51">
      <c r="C3" s="6" t="s">
        <v>9</v>
      </c>
      <c r="D3" s="6" t="s">
        <v>28</v>
      </c>
      <c r="E3" s="6" t="s">
        <v>29</v>
      </c>
      <c r="F3" s="6" t="s">
        <v>29</v>
      </c>
      <c r="G3" s="6" t="s">
        <v>31</v>
      </c>
      <c r="H3" s="7" t="s">
        <v>24</v>
      </c>
      <c r="I3" s="7" t="s">
        <v>27</v>
      </c>
      <c r="J3" s="7" t="s">
        <v>293</v>
      </c>
      <c r="L3" s="6" t="s">
        <v>25</v>
      </c>
      <c r="M3" s="7" t="s">
        <v>30</v>
      </c>
      <c r="N3" s="6" t="s">
        <v>26</v>
      </c>
      <c r="P3" s="7" t="s">
        <v>829</v>
      </c>
      <c r="Q3" s="7" t="s">
        <v>830</v>
      </c>
      <c r="R3" s="7" t="s">
        <v>831</v>
      </c>
      <c r="S3" s="7" t="s">
        <v>14</v>
      </c>
    </row>
    <row r="4" spans="2:20">
      <c r="C4" s="3" t="s">
        <v>14</v>
      </c>
      <c r="D4" s="3">
        <v>0.6</v>
      </c>
      <c r="E4" s="3">
        <v>4.8</v>
      </c>
      <c r="F4" s="3">
        <v>4.8</v>
      </c>
      <c r="G4" s="3">
        <v>0.23</v>
      </c>
      <c r="H4" s="3">
        <v>0.1</v>
      </c>
      <c r="I4" s="3">
        <v>0.2</v>
      </c>
      <c r="J4" s="3">
        <v>0.6</v>
      </c>
      <c r="L4" s="3">
        <v>0.18</v>
      </c>
      <c r="M4" s="3">
        <v>0.25</v>
      </c>
      <c r="N4" s="3">
        <v>0.1</v>
      </c>
      <c r="P4" s="3">
        <v>0.89</v>
      </c>
      <c r="Q4" s="3">
        <v>0.89</v>
      </c>
      <c r="R4" s="3">
        <v>0.89</v>
      </c>
      <c r="S4" s="3">
        <v>0.89</v>
      </c>
      <c r="T4" s="3">
        <v>0.25</v>
      </c>
    </row>
    <row r="5" spans="2:20">
      <c r="B5" s="3" t="s">
        <v>22</v>
      </c>
      <c r="C5" s="3" t="s">
        <v>10</v>
      </c>
      <c r="D5" s="3">
        <v>1</v>
      </c>
      <c r="E5" s="3">
        <v>1</v>
      </c>
      <c r="F5" s="3">
        <v>1</v>
      </c>
      <c r="G5" s="3">
        <v>1.1000000000000001</v>
      </c>
      <c r="H5" s="3">
        <v>1.1000000000000001</v>
      </c>
      <c r="I5" s="3">
        <v>1.1000000000000001</v>
      </c>
      <c r="J5" s="3">
        <v>1.1000000000000001</v>
      </c>
      <c r="L5" s="3">
        <v>1</v>
      </c>
      <c r="M5" s="3">
        <v>1</v>
      </c>
      <c r="N5" s="3">
        <v>1</v>
      </c>
      <c r="P5" s="3">
        <v>1</v>
      </c>
      <c r="Q5" s="3">
        <v>1</v>
      </c>
      <c r="R5" s="3">
        <v>1</v>
      </c>
      <c r="S5" s="3">
        <v>1.68</v>
      </c>
      <c r="T5" s="3">
        <v>0.375</v>
      </c>
    </row>
    <row r="6" spans="2:20">
      <c r="B6" s="3" t="s">
        <v>21</v>
      </c>
      <c r="C6" s="3" t="s">
        <v>11</v>
      </c>
      <c r="D6" s="3">
        <v>70</v>
      </c>
      <c r="E6" s="3">
        <v>70</v>
      </c>
      <c r="F6" s="3">
        <v>70</v>
      </c>
      <c r="G6" s="3">
        <v>70</v>
      </c>
      <c r="H6" s="3">
        <v>70</v>
      </c>
      <c r="I6" s="3">
        <v>70</v>
      </c>
      <c r="J6" s="3">
        <v>70</v>
      </c>
      <c r="L6" s="3">
        <v>70</v>
      </c>
      <c r="M6" s="3">
        <v>70</v>
      </c>
      <c r="N6" s="3">
        <v>70</v>
      </c>
      <c r="P6" s="3">
        <v>70</v>
      </c>
      <c r="Q6" s="3">
        <v>70</v>
      </c>
      <c r="R6" s="3">
        <v>70</v>
      </c>
      <c r="S6" s="3">
        <v>2.79</v>
      </c>
      <c r="T6" s="3">
        <v>0.5</v>
      </c>
    </row>
    <row r="7" spans="2:20">
      <c r="B7" s="3" t="s">
        <v>18</v>
      </c>
      <c r="C7" s="3" t="s">
        <v>12</v>
      </c>
      <c r="D7" s="3">
        <v>25</v>
      </c>
      <c r="E7" s="3">
        <v>25</v>
      </c>
      <c r="F7" s="3">
        <v>2</v>
      </c>
      <c r="G7" s="3">
        <v>28</v>
      </c>
      <c r="H7" s="3">
        <v>10</v>
      </c>
      <c r="I7" s="3">
        <v>28</v>
      </c>
      <c r="J7" s="3">
        <v>20</v>
      </c>
      <c r="L7" s="3">
        <v>35</v>
      </c>
      <c r="M7" s="3">
        <v>25</v>
      </c>
      <c r="N7" s="3">
        <v>100</v>
      </c>
      <c r="P7" s="3">
        <v>20</v>
      </c>
      <c r="Q7" s="3">
        <v>19</v>
      </c>
      <c r="R7" s="3">
        <v>15</v>
      </c>
    </row>
    <row r="8" spans="2:20">
      <c r="B8" s="3" t="s">
        <v>18</v>
      </c>
      <c r="C8" s="3" t="s">
        <v>13</v>
      </c>
      <c r="D8" s="3">
        <v>23</v>
      </c>
      <c r="E8" s="3">
        <v>2</v>
      </c>
      <c r="F8" s="3">
        <v>0</v>
      </c>
      <c r="G8" s="3">
        <v>27.7</v>
      </c>
      <c r="H8" s="3">
        <v>7</v>
      </c>
      <c r="I8" s="3">
        <v>27</v>
      </c>
      <c r="J8" s="3">
        <v>5</v>
      </c>
      <c r="L8" s="3">
        <v>0</v>
      </c>
      <c r="M8" s="3">
        <v>0</v>
      </c>
      <c r="N8" s="3">
        <v>28</v>
      </c>
      <c r="P8" s="3">
        <v>19</v>
      </c>
      <c r="Q8" s="3">
        <v>2</v>
      </c>
      <c r="R8" s="3">
        <v>13.5</v>
      </c>
    </row>
    <row r="9" spans="2:20">
      <c r="B9" s="3"/>
      <c r="G9" s="3"/>
      <c r="H9" s="3"/>
      <c r="I9" s="3"/>
      <c r="J9" s="3"/>
      <c r="L9" s="3"/>
      <c r="M9" s="3"/>
      <c r="N9" s="3"/>
      <c r="P9" s="3"/>
      <c r="Q9" s="3"/>
      <c r="R9" s="3"/>
    </row>
    <row r="10" spans="2:20">
      <c r="B10" s="3" t="s">
        <v>15</v>
      </c>
      <c r="C10" s="3" t="s">
        <v>20</v>
      </c>
      <c r="D10" s="5">
        <f t="shared" ref="D10" si="0">962*D4*SQRT(((D7+14.7)^2-(D8+14.7)^2)/(D5*(D6+460)))</f>
        <v>311.94200970511793</v>
      </c>
      <c r="E10" s="5">
        <f>962*E4*SQRT(((E7+14.7)^2-(E8+14.7)^2)/(E5*(E6+460)))</f>
        <v>7224.0683207701395</v>
      </c>
      <c r="F10" s="5">
        <f>962*F4*SQRT(((F7+14.7)^2-(F8+14.7)^2)/(F5*(F6+460)))</f>
        <v>1589.4914512035152</v>
      </c>
      <c r="G10" s="5">
        <f>962*G4*SQRT(((G7+14.7)^2-(G8+14.7)^2)/(G5*(G6+460)))</f>
        <v>46.301390963920753</v>
      </c>
      <c r="H10" s="5">
        <f>962*H4*SQRT(((H7+14.7)^2-(H8+14.7)^2)/(H5*(H6+460)))</f>
        <v>47.0067702141843</v>
      </c>
      <c r="I10" s="5">
        <f t="shared" ref="I10:J10" si="1">962*I4*SQRT(((I7+14.7)^2-(I8+14.7)^2)/(I5*(I6+460)))</f>
        <v>73.205213847627235</v>
      </c>
      <c r="J10" s="5">
        <f t="shared" si="1"/>
        <v>682.86857041431574</v>
      </c>
      <c r="L10" s="5">
        <f>962*L4*SQRT(((L7+14.7)^2-(L8+14.7)^2)/(L5*(L6+460)))</f>
        <v>357.0973260452663</v>
      </c>
      <c r="M10" s="5">
        <f>962*M4*SQRT(((M7+14.7)^2-(M8+14.7)^2)/(M5*(M6+460)))</f>
        <v>385.25350634477479</v>
      </c>
      <c r="N10" s="5">
        <f t="shared" ref="N10:P10" si="2">962*N4*SQRT(((N7+14.7)^2-(N8+14.7)^2)/(N5*(N6+460)))</f>
        <v>444.84196394963237</v>
      </c>
      <c r="P10" s="5">
        <f t="shared" si="2"/>
        <v>307.57794766057953</v>
      </c>
      <c r="Q10" s="5">
        <f t="shared" ref="Q10:R10" si="3">962*Q4*SQRT(((Q7+14.7)^2-(Q8+14.7)^2)/(Q5*(Q6+460)))</f>
        <v>1088.596347430185</v>
      </c>
      <c r="R10" s="5">
        <f t="shared" si="3"/>
        <v>346.58682951911646</v>
      </c>
    </row>
    <row r="11" spans="2:20">
      <c r="B11" s="3" t="s">
        <v>15</v>
      </c>
      <c r="C11" s="3" t="s">
        <v>16</v>
      </c>
      <c r="D11" s="5">
        <f t="shared" ref="D11" si="4">D4*(816*(D7+14.7)/SQRT(D5*(D6+460)))</f>
        <v>844.29454072549117</v>
      </c>
      <c r="E11" s="5">
        <f>E4*(816*(E7+14.7)/SQRT(E5*(E6+460)))</f>
        <v>6754.3563258039294</v>
      </c>
      <c r="F11" s="5">
        <f>F4*(816*(F7+14.7)/SQRT(F5*(F6+460)))</f>
        <v>2841.2531647588312</v>
      </c>
      <c r="G11" s="5">
        <f>G4*(816*(G7+14.7)/SQRT(G5*(G6+460)))</f>
        <v>331.90331677245371</v>
      </c>
      <c r="H11" s="5">
        <f>H4*(816*(H7+14.7)/SQRT(H5*(H6+460)))</f>
        <v>83.474309380710793</v>
      </c>
      <c r="I11" s="5">
        <f t="shared" ref="I11:J11" si="5">I4*(816*(I7+14.7)/SQRT(I5*(I6+460)))</f>
        <v>288.61157980213369</v>
      </c>
      <c r="J11" s="5">
        <f t="shared" si="5"/>
        <v>703.61745801878476</v>
      </c>
      <c r="L11" s="5">
        <f>L4*(816*(L7+14.7)/SQRT(L5*(L6+460)))</f>
        <v>317.08895723468697</v>
      </c>
      <c r="M11" s="5">
        <f>M4*(816*(M7+14.7)/SQRT(M5*(M6+460)))</f>
        <v>351.78939196895465</v>
      </c>
      <c r="N11" s="5">
        <f t="shared" ref="N11:P11" si="6">N4*(816*(N7+14.7)/SQRT(N5*(N6+460)))</f>
        <v>406.55156935858031</v>
      </c>
      <c r="P11" s="5">
        <f t="shared" si="6"/>
        <v>1094.6409866173528</v>
      </c>
      <c r="Q11" s="5">
        <f t="shared" ref="Q11:R11" si="7">Q4*(816*(Q7+14.7)/SQRT(Q5*(Q6+460)))</f>
        <v>1063.0951368589276</v>
      </c>
      <c r="R11" s="5">
        <f t="shared" si="7"/>
        <v>936.91173782522708</v>
      </c>
    </row>
    <row r="12" spans="2:20">
      <c r="B12" s="3"/>
      <c r="G12" s="3"/>
      <c r="H12" s="3"/>
      <c r="I12" s="3"/>
      <c r="J12" s="3"/>
      <c r="L12" s="3"/>
      <c r="M12" s="3"/>
      <c r="N12" s="3"/>
      <c r="P12" s="3"/>
      <c r="Q12" s="3"/>
      <c r="R12" s="3"/>
    </row>
    <row r="13" spans="2:20">
      <c r="B13" s="3" t="s">
        <v>17</v>
      </c>
      <c r="C13" s="3" t="s">
        <v>19</v>
      </c>
      <c r="D13" s="5">
        <f t="shared" ref="D13" si="8">MIN(D10*28.3168/60, D11*28.3168/60)</f>
        <v>147.2199916736314</v>
      </c>
      <c r="E13" s="5">
        <f>MIN(E10*28.3168/60, E11*28.3168/60)</f>
        <v>3187.6959534420789</v>
      </c>
      <c r="F13" s="5">
        <f>MIN(F10*28.3168/60, F11*28.3168/60)</f>
        <v>750.15519209066167</v>
      </c>
      <c r="G13" s="5">
        <f>MIN(G10*28.3168/60, G11*28.3168/60)</f>
        <v>21.851787127452518</v>
      </c>
      <c r="H13" s="5">
        <f>MIN(H10*28.3168/60, H11*28.3168/60)</f>
        <v>22.184688513350235</v>
      </c>
      <c r="I13" s="5">
        <f t="shared" ref="I13:J13" si="9">MIN(I10*28.3168/60, I11*28.3168/60)</f>
        <v>34.54895665800818</v>
      </c>
      <c r="J13" s="5">
        <f t="shared" si="9"/>
        <v>322.27754557846828</v>
      </c>
      <c r="L13" s="5">
        <f>MIN(L10*28.3168/60, L11*28.3168/60)</f>
        <v>149.64907640371973</v>
      </c>
      <c r="M13" s="5">
        <f>MIN(M10*28.3168/60, M11*28.3168/60)</f>
        <v>166.02583090844158</v>
      </c>
      <c r="N13" s="5">
        <f t="shared" ref="N13:P13" si="10">MIN(N10*28.3168/60, N11*28.3168/60)</f>
        <v>191.87065798688411</v>
      </c>
      <c r="P13" s="5">
        <f t="shared" si="10"/>
        <v>145.16038713858498</v>
      </c>
      <c r="Q13" s="5">
        <f t="shared" ref="Q13:R13" si="11">MIN(Q10*28.3168/60, Q11*28.3168/60)</f>
        <v>501.72420619011467</v>
      </c>
      <c r="R13" s="5">
        <f t="shared" si="11"/>
        <v>163.57049890211528</v>
      </c>
    </row>
    <row r="14" spans="2:20">
      <c r="B14" s="19" t="s">
        <v>294</v>
      </c>
      <c r="C14" s="3" t="s">
        <v>19</v>
      </c>
      <c r="D14" s="5">
        <f>MIN(D10/60, D11/60)</f>
        <v>5.199033495085299</v>
      </c>
      <c r="E14" s="5">
        <f>MIN(E10/60, E11/60)</f>
        <v>112.57260543006549</v>
      </c>
      <c r="F14" s="5">
        <f t="shared" ref="F14:N14" si="12">MIN(F10/60, F11/60)</f>
        <v>26.491524186725254</v>
      </c>
      <c r="G14" s="5">
        <f t="shared" si="12"/>
        <v>0.77168984939867924</v>
      </c>
      <c r="H14" s="5">
        <f t="shared" si="12"/>
        <v>0.78344617023640495</v>
      </c>
      <c r="I14" s="5">
        <f t="shared" si="12"/>
        <v>1.220086897460454</v>
      </c>
      <c r="J14" s="5">
        <f t="shared" si="12"/>
        <v>11.381142840238596</v>
      </c>
      <c r="L14" s="5">
        <f t="shared" si="12"/>
        <v>5.2848159539114494</v>
      </c>
      <c r="M14" s="5">
        <f t="shared" si="12"/>
        <v>5.8631565328159105</v>
      </c>
      <c r="N14" s="5">
        <f t="shared" si="12"/>
        <v>6.7758594893096715</v>
      </c>
      <c r="P14" s="5">
        <f t="shared" ref="P14:R14" si="13">MIN(P10/60, P11/60)</f>
        <v>5.126299127676325</v>
      </c>
      <c r="Q14" s="5">
        <f t="shared" si="13"/>
        <v>17.718252280982128</v>
      </c>
      <c r="R14" s="5">
        <f t="shared" si="13"/>
        <v>5.7764471586519415</v>
      </c>
    </row>
    <row r="18" spans="2:8">
      <c r="B18" t="s">
        <v>1060</v>
      </c>
    </row>
    <row r="19" spans="2:8" ht="17">
      <c r="B19" s="7"/>
      <c r="C19" s="6" t="s">
        <v>9</v>
      </c>
      <c r="D19" s="6" t="s">
        <v>1061</v>
      </c>
      <c r="E19" s="3" t="s">
        <v>1062</v>
      </c>
      <c r="F19" s="3" t="s">
        <v>1063</v>
      </c>
      <c r="G19" s="3" t="s">
        <v>1064</v>
      </c>
      <c r="H19" s="3" t="s">
        <v>1095</v>
      </c>
    </row>
    <row r="20" spans="2:8">
      <c r="C20" s="3" t="s">
        <v>14</v>
      </c>
      <c r="D20" s="3">
        <v>0.2</v>
      </c>
      <c r="E20" s="3">
        <v>0.3</v>
      </c>
      <c r="F20" s="142">
        <v>0.25</v>
      </c>
      <c r="G20" s="142">
        <v>0.2</v>
      </c>
    </row>
    <row r="21" spans="2:8">
      <c r="B21" s="3" t="s">
        <v>22</v>
      </c>
      <c r="C21" s="3" t="s">
        <v>10</v>
      </c>
      <c r="D21" s="3">
        <v>1.1000000000000001</v>
      </c>
      <c r="E21" s="3">
        <v>1.1000000000000001</v>
      </c>
      <c r="F21" s="3">
        <v>1.1000000000000001</v>
      </c>
      <c r="G21" s="3">
        <v>1.1000000000000001</v>
      </c>
    </row>
    <row r="22" spans="2:8">
      <c r="B22" s="3" t="s">
        <v>21</v>
      </c>
      <c r="C22" s="3" t="s">
        <v>11</v>
      </c>
      <c r="D22" s="3">
        <v>70</v>
      </c>
      <c r="E22" s="3">
        <v>70</v>
      </c>
      <c r="F22" s="3">
        <v>70</v>
      </c>
      <c r="G22" s="3">
        <v>70</v>
      </c>
    </row>
    <row r="23" spans="2:8">
      <c r="B23" s="3" t="s">
        <v>18</v>
      </c>
      <c r="C23" s="3" t="s">
        <v>12</v>
      </c>
      <c r="D23" s="3">
        <v>25</v>
      </c>
      <c r="E23" s="3">
        <v>25</v>
      </c>
      <c r="F23" s="3">
        <v>25</v>
      </c>
      <c r="G23" s="3">
        <v>25</v>
      </c>
    </row>
    <row r="24" spans="2:8">
      <c r="B24" s="3" t="s">
        <v>18</v>
      </c>
      <c r="C24" s="3" t="s">
        <v>13</v>
      </c>
      <c r="D24" s="3">
        <v>10</v>
      </c>
      <c r="E24" s="3">
        <v>10</v>
      </c>
      <c r="F24" s="3">
        <v>10</v>
      </c>
      <c r="G24" s="3">
        <v>10</v>
      </c>
    </row>
    <row r="25" spans="2:8">
      <c r="B25" s="3"/>
      <c r="G25" s="3"/>
    </row>
    <row r="26" spans="2:8">
      <c r="B26" s="3" t="s">
        <v>15</v>
      </c>
      <c r="C26" s="3" t="s">
        <v>20</v>
      </c>
      <c r="D26" s="5">
        <f t="shared" ref="D26:G26" si="14">962*D20*SQRT(((D23+14.7)^2-(D24+14.7)^2)/(D21*(D22+460)))</f>
        <v>247.66198732485108</v>
      </c>
      <c r="E26" s="5">
        <f t="shared" si="14"/>
        <v>371.49298098727655</v>
      </c>
      <c r="F26" s="5">
        <f t="shared" si="14"/>
        <v>309.57748415606386</v>
      </c>
      <c r="G26" s="5">
        <f t="shared" si="14"/>
        <v>247.66198732485108</v>
      </c>
    </row>
    <row r="27" spans="2:8">
      <c r="B27" s="3" t="s">
        <v>15</v>
      </c>
      <c r="C27" s="3" t="s">
        <v>16</v>
      </c>
      <c r="D27" s="5">
        <f t="shared" ref="D27:G27" si="15">D20*(816*(D23+14.7)/SQRT(D21*(D22+460)))</f>
        <v>268.33441962868164</v>
      </c>
      <c r="E27" s="5">
        <f t="shared" si="15"/>
        <v>402.50162944302247</v>
      </c>
      <c r="F27" s="5">
        <f t="shared" si="15"/>
        <v>335.41802453585206</v>
      </c>
      <c r="G27" s="5">
        <f t="shared" si="15"/>
        <v>268.33441962868164</v>
      </c>
    </row>
    <row r="28" spans="2:8">
      <c r="B28" s="3"/>
      <c r="G28" s="3"/>
    </row>
    <row r="29" spans="2:8">
      <c r="B29" s="3" t="s">
        <v>17</v>
      </c>
      <c r="C29" s="3" t="s">
        <v>19</v>
      </c>
      <c r="D29" s="5">
        <f t="shared" ref="D29:G29" si="16">MIN(D26*28.3168/60, D27*28.3168/60)</f>
        <v>116.88324937800573</v>
      </c>
      <c r="E29" s="5">
        <f t="shared" si="16"/>
        <v>175.32487406700855</v>
      </c>
      <c r="F29" s="5">
        <f t="shared" si="16"/>
        <v>146.10406172250717</v>
      </c>
      <c r="G29" s="5">
        <f t="shared" si="16"/>
        <v>116.88324937800573</v>
      </c>
    </row>
    <row r="30" spans="2:8">
      <c r="B30" s="19" t="s">
        <v>294</v>
      </c>
      <c r="C30" s="3" t="s">
        <v>19</v>
      </c>
      <c r="D30" s="5">
        <f>MIN(D26/60, D27/60)</f>
        <v>4.1276997887475178</v>
      </c>
      <c r="E30" s="5">
        <f t="shared" ref="E30:G30" si="17">MIN(E26/60, E27/60)</f>
        <v>6.1915496831212762</v>
      </c>
      <c r="F30" s="5">
        <f t="shared" si="17"/>
        <v>5.1596247359343979</v>
      </c>
      <c r="G30" s="5">
        <f t="shared" si="17"/>
        <v>4.1276997887475178</v>
      </c>
    </row>
  </sheetData>
  <hyperlinks>
    <hyperlink ref="C2" r:id="rId1" xr:uid="{00000000-0004-0000-02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6:C11"/>
  <sheetViews>
    <sheetView workbookViewId="0">
      <selection activeCell="C20" sqref="C20"/>
    </sheetView>
  </sheetViews>
  <sheetFormatPr baseColWidth="10" defaultRowHeight="16"/>
  <sheetData>
    <row r="6" spans="2:3">
      <c r="B6" t="s">
        <v>351</v>
      </c>
    </row>
    <row r="7" spans="2:3">
      <c r="B7" t="s">
        <v>350</v>
      </c>
    </row>
    <row r="8" spans="2:3">
      <c r="B8" t="s">
        <v>352</v>
      </c>
    </row>
    <row r="9" spans="2:3">
      <c r="B9" t="s">
        <v>353</v>
      </c>
    </row>
    <row r="11" spans="2:3">
      <c r="B11" t="s">
        <v>354</v>
      </c>
      <c r="C11" t="s">
        <v>349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42"/>
  <sheetViews>
    <sheetView workbookViewId="0">
      <selection activeCell="B43" sqref="B43"/>
    </sheetView>
  </sheetViews>
  <sheetFormatPr baseColWidth="10" defaultRowHeight="16"/>
  <cols>
    <col min="1" max="1" width="3" customWidth="1"/>
    <col min="2" max="2" width="13" style="17" customWidth="1"/>
    <col min="3" max="3" width="13.83203125" style="18" customWidth="1"/>
    <col min="4" max="4" width="5.6640625" style="17" customWidth="1"/>
    <col min="5" max="6" width="6" style="17" customWidth="1"/>
    <col min="7" max="7" width="4.5" style="17" customWidth="1"/>
    <col min="8" max="8" width="48.5" style="12" customWidth="1"/>
    <col min="9" max="9" width="35.1640625" customWidth="1"/>
  </cols>
  <sheetData>
    <row r="2" spans="2:9" ht="17">
      <c r="B2" s="13" t="s">
        <v>239</v>
      </c>
      <c r="C2" s="14" t="s">
        <v>240</v>
      </c>
      <c r="D2" s="13" t="s">
        <v>241</v>
      </c>
      <c r="E2" s="13" t="s">
        <v>242</v>
      </c>
      <c r="F2" s="13" t="s">
        <v>243</v>
      </c>
      <c r="G2" s="13" t="s">
        <v>257</v>
      </c>
      <c r="H2" s="14" t="s">
        <v>281</v>
      </c>
      <c r="I2" s="8" t="s">
        <v>250</v>
      </c>
    </row>
    <row r="4" spans="2:9" s="10" customFormat="1" ht="54" customHeight="1">
      <c r="B4" s="15">
        <v>1974</v>
      </c>
      <c r="C4" s="16" t="s">
        <v>262</v>
      </c>
      <c r="D4" s="15"/>
      <c r="E4" s="15" t="s">
        <v>245</v>
      </c>
      <c r="F4" s="15" t="s">
        <v>245</v>
      </c>
      <c r="G4" s="15">
        <v>1</v>
      </c>
      <c r="H4" s="11" t="s">
        <v>274</v>
      </c>
      <c r="I4" s="9"/>
    </row>
    <row r="5" spans="2:9" s="10" customFormat="1" ht="51">
      <c r="B5" s="15">
        <v>1975</v>
      </c>
      <c r="C5" s="16" t="s">
        <v>263</v>
      </c>
      <c r="D5" s="15" t="s">
        <v>245</v>
      </c>
      <c r="E5" s="15" t="s">
        <v>245</v>
      </c>
      <c r="F5" s="15" t="s">
        <v>245</v>
      </c>
      <c r="G5" s="15">
        <v>1</v>
      </c>
      <c r="H5" s="11" t="s">
        <v>279</v>
      </c>
      <c r="I5" s="9"/>
    </row>
    <row r="6" spans="2:9" ht="34">
      <c r="B6" s="17" t="s">
        <v>275</v>
      </c>
      <c r="C6" s="18" t="s">
        <v>244</v>
      </c>
      <c r="E6" s="17" t="s">
        <v>245</v>
      </c>
      <c r="F6" s="17" t="s">
        <v>245</v>
      </c>
      <c r="G6" s="17">
        <v>2</v>
      </c>
      <c r="H6" s="12" t="s">
        <v>268</v>
      </c>
    </row>
    <row r="7" spans="2:9" ht="34">
      <c r="B7" s="17">
        <v>1981</v>
      </c>
      <c r="C7" s="18" t="s">
        <v>249</v>
      </c>
      <c r="F7" s="17" t="s">
        <v>245</v>
      </c>
      <c r="G7" s="17">
        <v>1</v>
      </c>
      <c r="H7" s="12" t="s">
        <v>269</v>
      </c>
    </row>
    <row r="8" spans="2:9" ht="51">
      <c r="B8" s="17">
        <v>1982</v>
      </c>
      <c r="C8" s="18" t="s">
        <v>248</v>
      </c>
      <c r="E8" s="17" t="s">
        <v>245</v>
      </c>
      <c r="F8" s="17" t="s">
        <v>245</v>
      </c>
      <c r="G8" s="17">
        <v>1</v>
      </c>
      <c r="H8" s="12" t="s">
        <v>276</v>
      </c>
    </row>
    <row r="9" spans="2:9" ht="17">
      <c r="B9" s="17">
        <v>1983</v>
      </c>
      <c r="C9" s="18" t="s">
        <v>246</v>
      </c>
      <c r="E9" s="17" t="s">
        <v>245</v>
      </c>
      <c r="F9" s="17" t="s">
        <v>245</v>
      </c>
      <c r="G9" s="17">
        <v>1</v>
      </c>
      <c r="H9" s="11" t="s">
        <v>277</v>
      </c>
    </row>
    <row r="10" spans="2:9" ht="51">
      <c r="B10" s="17">
        <v>1983</v>
      </c>
      <c r="C10" s="18" t="s">
        <v>247</v>
      </c>
      <c r="D10" s="17" t="s">
        <v>245</v>
      </c>
      <c r="E10" s="17" t="s">
        <v>245</v>
      </c>
      <c r="F10" s="17" t="s">
        <v>245</v>
      </c>
      <c r="G10" s="17">
        <v>1</v>
      </c>
      <c r="H10" s="12" t="s">
        <v>264</v>
      </c>
    </row>
    <row r="11" spans="2:9" ht="51">
      <c r="B11" s="17">
        <v>1986</v>
      </c>
      <c r="C11" s="18" t="s">
        <v>278</v>
      </c>
      <c r="D11" s="17" t="s">
        <v>245</v>
      </c>
      <c r="E11" s="17" t="s">
        <v>245</v>
      </c>
      <c r="F11" s="17" t="s">
        <v>245</v>
      </c>
      <c r="G11" s="17">
        <v>1</v>
      </c>
      <c r="H11" s="12" t="s">
        <v>280</v>
      </c>
    </row>
    <row r="12" spans="2:9" ht="34">
      <c r="B12" s="17">
        <v>1989</v>
      </c>
      <c r="C12" s="18" t="s">
        <v>261</v>
      </c>
      <c r="E12" s="17" t="s">
        <v>245</v>
      </c>
      <c r="G12" s="17">
        <v>1</v>
      </c>
      <c r="H12" s="12" t="s">
        <v>265</v>
      </c>
    </row>
    <row r="13" spans="2:9" ht="34">
      <c r="B13" s="17" t="s">
        <v>260</v>
      </c>
      <c r="C13" s="18" t="s">
        <v>251</v>
      </c>
      <c r="E13" s="17" t="s">
        <v>245</v>
      </c>
      <c r="F13" s="17" t="s">
        <v>245</v>
      </c>
      <c r="G13" s="17">
        <v>5</v>
      </c>
      <c r="H13" s="12" t="s">
        <v>266</v>
      </c>
    </row>
    <row r="14" spans="2:9" ht="17">
      <c r="B14" s="17">
        <v>1999</v>
      </c>
      <c r="C14" s="18" t="s">
        <v>256</v>
      </c>
      <c r="E14" s="17" t="s">
        <v>245</v>
      </c>
      <c r="F14" s="17" t="s">
        <v>245</v>
      </c>
      <c r="G14" s="17">
        <v>1</v>
      </c>
      <c r="H14" s="12" t="s">
        <v>267</v>
      </c>
    </row>
    <row r="15" spans="2:9" ht="51">
      <c r="B15" s="17" t="s">
        <v>287</v>
      </c>
      <c r="C15" s="18" t="s">
        <v>283</v>
      </c>
      <c r="D15" s="17" t="s">
        <v>245</v>
      </c>
      <c r="E15" s="17" t="s">
        <v>245</v>
      </c>
      <c r="F15" s="17" t="s">
        <v>245</v>
      </c>
      <c r="G15" s="17">
        <v>2</v>
      </c>
      <c r="H15" s="12" t="s">
        <v>284</v>
      </c>
    </row>
    <row r="16" spans="2:9" ht="68">
      <c r="B16" s="17">
        <v>2001</v>
      </c>
      <c r="C16" s="18" t="s">
        <v>285</v>
      </c>
      <c r="E16" s="17" t="s">
        <v>245</v>
      </c>
      <c r="F16" s="17" t="s">
        <v>245</v>
      </c>
      <c r="G16" s="17">
        <v>1</v>
      </c>
      <c r="H16" s="12" t="s">
        <v>286</v>
      </c>
    </row>
    <row r="17" spans="2:9" ht="34">
      <c r="B17" s="17">
        <v>2003</v>
      </c>
      <c r="C17" s="18" t="s">
        <v>255</v>
      </c>
      <c r="D17" s="17" t="s">
        <v>245</v>
      </c>
      <c r="E17" s="17" t="s">
        <v>245</v>
      </c>
      <c r="F17" s="17" t="s">
        <v>245</v>
      </c>
      <c r="G17" s="17">
        <v>1</v>
      </c>
      <c r="H17" s="12" t="s">
        <v>282</v>
      </c>
    </row>
    <row r="18" spans="2:9" ht="51">
      <c r="B18" s="17">
        <v>2005</v>
      </c>
      <c r="C18" s="18" t="s">
        <v>288</v>
      </c>
      <c r="E18" s="17" t="s">
        <v>245</v>
      </c>
      <c r="F18" s="17" t="s">
        <v>245</v>
      </c>
      <c r="G18" s="17">
        <v>1</v>
      </c>
      <c r="H18" s="12" t="s">
        <v>289</v>
      </c>
    </row>
    <row r="19" spans="2:9" ht="51">
      <c r="B19" s="17" t="s">
        <v>259</v>
      </c>
      <c r="C19" s="18" t="s">
        <v>252</v>
      </c>
      <c r="E19" s="17" t="s">
        <v>245</v>
      </c>
      <c r="F19" s="17" t="s">
        <v>245</v>
      </c>
      <c r="G19" s="17">
        <v>5</v>
      </c>
      <c r="H19" s="12" t="s">
        <v>270</v>
      </c>
    </row>
    <row r="20" spans="2:9" ht="51">
      <c r="B20" s="17">
        <v>2010</v>
      </c>
      <c r="C20" s="18" t="s">
        <v>253</v>
      </c>
      <c r="D20" s="17" t="s">
        <v>245</v>
      </c>
      <c r="E20" s="17" t="s">
        <v>245</v>
      </c>
      <c r="F20" s="17" t="s">
        <v>245</v>
      </c>
      <c r="G20" s="17">
        <v>1</v>
      </c>
      <c r="H20" s="12" t="s">
        <v>271</v>
      </c>
    </row>
    <row r="21" spans="2:9" ht="34">
      <c r="B21" s="17">
        <v>2018</v>
      </c>
      <c r="C21" s="18" t="s">
        <v>254</v>
      </c>
      <c r="E21" s="17" t="s">
        <v>245</v>
      </c>
      <c r="F21" s="17" t="s">
        <v>245</v>
      </c>
      <c r="G21" s="17">
        <v>3</v>
      </c>
      <c r="H21" s="12" t="s">
        <v>272</v>
      </c>
    </row>
    <row r="22" spans="2:9" ht="34">
      <c r="B22" s="17">
        <v>2021</v>
      </c>
      <c r="C22" s="18" t="s">
        <v>258</v>
      </c>
      <c r="E22" s="17" t="s">
        <v>245</v>
      </c>
      <c r="F22" s="17" t="s">
        <v>245</v>
      </c>
      <c r="G22" s="17">
        <v>1</v>
      </c>
      <c r="H22" s="12" t="s">
        <v>273</v>
      </c>
    </row>
    <row r="26" spans="2:9" ht="17">
      <c r="H26" s="18" t="s">
        <v>979</v>
      </c>
      <c r="I26" s="3" t="s">
        <v>250</v>
      </c>
    </row>
    <row r="27" spans="2:9" ht="34">
      <c r="B27" s="17" t="s">
        <v>966</v>
      </c>
      <c r="C27" s="18" t="s">
        <v>957</v>
      </c>
      <c r="H27" s="12" t="s">
        <v>991</v>
      </c>
      <c r="I27" s="12" t="s">
        <v>958</v>
      </c>
    </row>
    <row r="28" spans="2:9" ht="34">
      <c r="B28" s="17">
        <v>1975</v>
      </c>
      <c r="C28" s="18" t="s">
        <v>980</v>
      </c>
      <c r="H28" s="12" t="s">
        <v>990</v>
      </c>
      <c r="I28" s="12" t="s">
        <v>959</v>
      </c>
    </row>
    <row r="29" spans="2:9" ht="66" customHeight="1">
      <c r="B29" s="17" t="s">
        <v>992</v>
      </c>
      <c r="C29" s="18" t="s">
        <v>993</v>
      </c>
      <c r="H29" s="12" t="s">
        <v>994</v>
      </c>
      <c r="I29" s="12" t="s">
        <v>997</v>
      </c>
    </row>
    <row r="30" spans="2:9" ht="51">
      <c r="B30" s="17" t="s">
        <v>965</v>
      </c>
      <c r="C30" s="18" t="s">
        <v>961</v>
      </c>
      <c r="H30" s="12" t="s">
        <v>981</v>
      </c>
      <c r="I30" s="12" t="s">
        <v>962</v>
      </c>
    </row>
    <row r="31" spans="2:9" ht="17">
      <c r="B31" s="17">
        <v>1980</v>
      </c>
      <c r="C31" s="18" t="s">
        <v>955</v>
      </c>
      <c r="H31" s="12" t="s">
        <v>982</v>
      </c>
      <c r="I31" s="12" t="s">
        <v>956</v>
      </c>
    </row>
    <row r="32" spans="2:9" ht="39" customHeight="1">
      <c r="B32" s="17" t="s">
        <v>964</v>
      </c>
      <c r="C32" s="18" t="s">
        <v>960</v>
      </c>
      <c r="H32" s="12" t="s">
        <v>989</v>
      </c>
      <c r="I32" s="12" t="s">
        <v>972</v>
      </c>
    </row>
    <row r="33" spans="2:8" ht="51">
      <c r="B33" s="17" t="s">
        <v>995</v>
      </c>
      <c r="C33" s="18" t="s">
        <v>973</v>
      </c>
      <c r="H33" s="12" t="s">
        <v>996</v>
      </c>
    </row>
    <row r="34" spans="2:8" ht="51">
      <c r="B34" s="17" t="s">
        <v>967</v>
      </c>
      <c r="C34" s="18" t="s">
        <v>963</v>
      </c>
      <c r="H34" s="12" t="s">
        <v>971</v>
      </c>
    </row>
    <row r="35" spans="2:8" ht="68">
      <c r="B35" s="17" t="s">
        <v>968</v>
      </c>
      <c r="H35" s="12" t="s">
        <v>970</v>
      </c>
    </row>
    <row r="36" spans="2:8" ht="51">
      <c r="B36" s="17" t="s">
        <v>969</v>
      </c>
      <c r="H36" s="12" t="s">
        <v>974</v>
      </c>
    </row>
    <row r="37" spans="2:8" ht="51">
      <c r="B37" s="17" t="s">
        <v>976</v>
      </c>
      <c r="H37" s="12" t="s">
        <v>975</v>
      </c>
    </row>
    <row r="38" spans="2:8" ht="51">
      <c r="B38" s="17" t="s">
        <v>977</v>
      </c>
      <c r="H38" s="12" t="s">
        <v>984</v>
      </c>
    </row>
    <row r="39" spans="2:8" ht="34">
      <c r="B39" s="17" t="s">
        <v>983</v>
      </c>
      <c r="H39" s="12" t="s">
        <v>987</v>
      </c>
    </row>
    <row r="40" spans="2:8" ht="34">
      <c r="B40" s="17" t="s">
        <v>978</v>
      </c>
      <c r="H40" s="12" t="s">
        <v>986</v>
      </c>
    </row>
    <row r="41" spans="2:8" ht="68">
      <c r="B41" s="17" t="s">
        <v>985</v>
      </c>
      <c r="H41" s="12" t="s">
        <v>988</v>
      </c>
    </row>
    <row r="42" spans="2:8" ht="51">
      <c r="B42" s="17" t="s">
        <v>998</v>
      </c>
      <c r="H42" s="12" t="s">
        <v>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H37"/>
  <sheetViews>
    <sheetView topLeftCell="B1" workbookViewId="0">
      <selection activeCell="B7" sqref="B7"/>
    </sheetView>
  </sheetViews>
  <sheetFormatPr baseColWidth="10" defaultRowHeight="16"/>
  <cols>
    <col min="2" max="2" width="13.83203125" bestFit="1" customWidth="1"/>
  </cols>
  <sheetData>
    <row r="5" spans="2:8">
      <c r="B5" s="25" t="s">
        <v>340</v>
      </c>
      <c r="E5" s="24" t="s">
        <v>337</v>
      </c>
      <c r="F5" s="24" t="s">
        <v>339</v>
      </c>
      <c r="G5" s="24" t="s">
        <v>338</v>
      </c>
    </row>
    <row r="6" spans="2:8">
      <c r="B6" s="22">
        <f>1/16</f>
        <v>6.25E-2</v>
      </c>
      <c r="C6" t="s">
        <v>336</v>
      </c>
      <c r="E6">
        <v>0.35</v>
      </c>
      <c r="F6">
        <v>0.44</v>
      </c>
      <c r="G6">
        <v>0.56000000000000005</v>
      </c>
      <c r="H6" t="s">
        <v>336</v>
      </c>
    </row>
    <row r="7" spans="2:8">
      <c r="B7" s="1">
        <f>B6/2*25.4</f>
        <v>0.79374999999999996</v>
      </c>
      <c r="C7" t="s">
        <v>335</v>
      </c>
      <c r="E7">
        <f>E6/2*25.4</f>
        <v>4.4449999999999994</v>
      </c>
      <c r="F7">
        <f>F6/2*25.4</f>
        <v>5.5880000000000001</v>
      </c>
      <c r="G7">
        <f>G6/2*25.4</f>
        <v>7.1120000000000001</v>
      </c>
      <c r="H7" t="s">
        <v>335</v>
      </c>
    </row>
    <row r="8" spans="2:8">
      <c r="B8" s="2">
        <f>B7^2*PI()</f>
        <v>1.9793260902246004</v>
      </c>
      <c r="C8" t="s">
        <v>227</v>
      </c>
      <c r="E8" s="2">
        <f>E7^2*PI()</f>
        <v>62.071666189443462</v>
      </c>
      <c r="F8" s="2">
        <f>F7^2*PI()</f>
        <v>98.098567953275563</v>
      </c>
      <c r="G8" s="2">
        <f>G7^2*PI()</f>
        <v>158.9034654449753</v>
      </c>
      <c r="H8" t="s">
        <v>227</v>
      </c>
    </row>
    <row r="9" spans="2:8">
      <c r="B9" s="2">
        <f>1000/B8</f>
        <v>505.22246179583618</v>
      </c>
      <c r="C9" t="s">
        <v>229</v>
      </c>
      <c r="E9" s="2">
        <f>1000/E8</f>
        <v>16.110410133795799</v>
      </c>
      <c r="F9" s="2">
        <f>1000/F8</f>
        <v>10.193828726187938</v>
      </c>
      <c r="G9" s="2">
        <f>1000/G8</f>
        <v>6.2931289585139822</v>
      </c>
      <c r="H9" t="s">
        <v>229</v>
      </c>
    </row>
    <row r="10" spans="2:8">
      <c r="E10">
        <v>200</v>
      </c>
      <c r="F10">
        <v>200</v>
      </c>
      <c r="G10">
        <v>200</v>
      </c>
      <c r="H10" t="s">
        <v>17</v>
      </c>
    </row>
    <row r="11" spans="2:8">
      <c r="B11">
        <v>100</v>
      </c>
      <c r="C11" t="s">
        <v>228</v>
      </c>
      <c r="E11">
        <f>E10*100</f>
        <v>20000</v>
      </c>
      <c r="F11">
        <f t="shared" ref="F11:G11" si="0">F10*100</f>
        <v>20000</v>
      </c>
      <c r="G11">
        <f t="shared" si="0"/>
        <v>20000</v>
      </c>
      <c r="H11" t="s">
        <v>228</v>
      </c>
    </row>
    <row r="12" spans="2:8">
      <c r="B12" s="2">
        <f>B11*B9/10/60</f>
        <v>84.203743632639359</v>
      </c>
      <c r="C12" t="s">
        <v>230</v>
      </c>
      <c r="E12" s="2">
        <f>E11*E9/10/60</f>
        <v>537.01367112652656</v>
      </c>
      <c r="F12" s="2">
        <f>F11*F9/10/60</f>
        <v>339.79429087293124</v>
      </c>
      <c r="G12" s="2">
        <f>G11*G9/10/60</f>
        <v>209.7709652837994</v>
      </c>
      <c r="H12" t="s">
        <v>230</v>
      </c>
    </row>
    <row r="13" spans="2:8">
      <c r="B13" s="1">
        <f>B12/100</f>
        <v>0.84203743632639361</v>
      </c>
      <c r="C13" t="s">
        <v>334</v>
      </c>
      <c r="E13" s="1">
        <f>E12/100</f>
        <v>5.3701367112652658</v>
      </c>
      <c r="F13" s="1">
        <f>F12/100</f>
        <v>3.3979429087293123</v>
      </c>
      <c r="G13" s="1">
        <f>G12/100</f>
        <v>2.0977096528379939</v>
      </c>
      <c r="H13" t="s">
        <v>334</v>
      </c>
    </row>
    <row r="19" spans="2:6">
      <c r="B19" s="1">
        <f>D19</f>
        <v>29.921259842519685</v>
      </c>
      <c r="C19" t="s">
        <v>311</v>
      </c>
      <c r="D19" s="20">
        <f>B22/25.4</f>
        <v>29.921259842519685</v>
      </c>
    </row>
    <row r="20" spans="2:6">
      <c r="B20">
        <v>29.67</v>
      </c>
      <c r="C20" t="s">
        <v>309</v>
      </c>
    </row>
    <row r="22" spans="2:6">
      <c r="B22">
        <v>760</v>
      </c>
      <c r="C22" t="s">
        <v>310</v>
      </c>
      <c r="E22" t="s">
        <v>333</v>
      </c>
    </row>
    <row r="23" spans="2:6">
      <c r="B23" s="2">
        <f xml:space="preserve"> (B$19-B$20)/B$19 *B22</f>
        <v>6.3819999999999597</v>
      </c>
      <c r="C23" t="s">
        <v>312</v>
      </c>
      <c r="E23">
        <v>6.2</v>
      </c>
      <c r="F23" t="s">
        <v>315</v>
      </c>
    </row>
    <row r="25" spans="2:6">
      <c r="B25">
        <v>1000</v>
      </c>
      <c r="C25" t="s">
        <v>313</v>
      </c>
    </row>
    <row r="26" spans="2:6">
      <c r="B26" s="2">
        <f xml:space="preserve"> (B$19-B$20)/B$19 *B25</f>
        <v>8.3973684210525796</v>
      </c>
      <c r="C26" t="s">
        <v>314</v>
      </c>
      <c r="E26" s="2">
        <f>E23*B25/B22</f>
        <v>8.1578947368421044</v>
      </c>
      <c r="F26" t="s">
        <v>314</v>
      </c>
    </row>
    <row r="30" spans="2:6">
      <c r="C30">
        <v>14.7</v>
      </c>
      <c r="D30" t="s">
        <v>329</v>
      </c>
    </row>
    <row r="31" spans="2:6">
      <c r="C31">
        <v>0.12</v>
      </c>
      <c r="D31" t="s">
        <v>330</v>
      </c>
    </row>
    <row r="32" spans="2:6">
      <c r="C32" s="1">
        <f>C31/C30*1000</f>
        <v>8.1632653061224492</v>
      </c>
      <c r="D32" t="s">
        <v>331</v>
      </c>
    </row>
    <row r="33" spans="3:4">
      <c r="C33" s="1">
        <f>C32*B22/1000</f>
        <v>6.204081632653061</v>
      </c>
      <c r="D33" t="s">
        <v>328</v>
      </c>
    </row>
    <row r="36" spans="3:4">
      <c r="C36">
        <v>41</v>
      </c>
      <c r="D36" t="s">
        <v>332</v>
      </c>
    </row>
    <row r="37" spans="3:4">
      <c r="C37" s="2">
        <f>5/9*(C36-32)</f>
        <v>5</v>
      </c>
      <c r="D37" t="s">
        <v>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3"/>
  <sheetViews>
    <sheetView workbookViewId="0">
      <selection activeCell="K19" sqref="K19"/>
    </sheetView>
  </sheetViews>
  <sheetFormatPr baseColWidth="10" defaultRowHeight="16"/>
  <sheetData>
    <row r="1" spans="1:13">
      <c r="A1" t="s">
        <v>303</v>
      </c>
    </row>
    <row r="6" spans="1:13">
      <c r="C6" t="s">
        <v>318</v>
      </c>
      <c r="D6" t="s">
        <v>319</v>
      </c>
      <c r="E6">
        <v>2</v>
      </c>
      <c r="F6">
        <v>49.99</v>
      </c>
      <c r="G6">
        <f>E6*F6</f>
        <v>99.98</v>
      </c>
      <c r="I6">
        <v>2</v>
      </c>
      <c r="J6">
        <v>49.99</v>
      </c>
      <c r="K6">
        <f>I6*J6</f>
        <v>99.98</v>
      </c>
      <c r="M6">
        <v>49.99</v>
      </c>
    </row>
    <row r="7" spans="1:13">
      <c r="C7" t="s">
        <v>316</v>
      </c>
      <c r="D7" t="s">
        <v>320</v>
      </c>
      <c r="E7">
        <v>2</v>
      </c>
      <c r="F7">
        <v>19.989999999999998</v>
      </c>
      <c r="G7">
        <f t="shared" ref="G7:G12" si="0">E7*F7</f>
        <v>39.979999999999997</v>
      </c>
      <c r="I7">
        <v>2</v>
      </c>
      <c r="J7">
        <v>16.79</v>
      </c>
      <c r="K7">
        <f t="shared" ref="K7:K12" si="1">I7*J7</f>
        <v>33.58</v>
      </c>
      <c r="M7">
        <v>16.79</v>
      </c>
    </row>
    <row r="8" spans="1:13">
      <c r="C8" t="s">
        <v>317</v>
      </c>
      <c r="D8" t="s">
        <v>321</v>
      </c>
      <c r="E8">
        <v>2</v>
      </c>
      <c r="F8">
        <v>19.989999999999998</v>
      </c>
      <c r="G8">
        <f t="shared" si="0"/>
        <v>39.979999999999997</v>
      </c>
      <c r="I8">
        <v>2</v>
      </c>
      <c r="J8">
        <v>19.989999999999998</v>
      </c>
      <c r="K8">
        <f t="shared" si="1"/>
        <v>39.979999999999997</v>
      </c>
      <c r="M8">
        <v>19.989999999999998</v>
      </c>
    </row>
    <row r="9" spans="1:13">
      <c r="C9" t="s">
        <v>322</v>
      </c>
      <c r="D9" t="s">
        <v>323</v>
      </c>
      <c r="E9">
        <v>4</v>
      </c>
      <c r="F9">
        <v>24.99</v>
      </c>
      <c r="G9">
        <f t="shared" si="0"/>
        <v>99.96</v>
      </c>
      <c r="I9">
        <v>4</v>
      </c>
      <c r="J9">
        <v>22.99</v>
      </c>
      <c r="K9">
        <f t="shared" si="1"/>
        <v>91.96</v>
      </c>
      <c r="M9">
        <v>22.99</v>
      </c>
    </row>
    <row r="10" spans="1:13">
      <c r="C10" t="s">
        <v>324</v>
      </c>
      <c r="D10" t="s">
        <v>323</v>
      </c>
      <c r="E10">
        <v>8</v>
      </c>
      <c r="F10">
        <v>11.99</v>
      </c>
      <c r="G10">
        <f t="shared" si="0"/>
        <v>95.92</v>
      </c>
      <c r="I10">
        <v>8</v>
      </c>
      <c r="J10">
        <v>11.99</v>
      </c>
      <c r="K10">
        <f t="shared" si="1"/>
        <v>95.92</v>
      </c>
      <c r="M10">
        <v>12.99</v>
      </c>
    </row>
    <row r="11" spans="1:13">
      <c r="C11" t="s">
        <v>325</v>
      </c>
      <c r="E11">
        <v>8</v>
      </c>
      <c r="F11">
        <f>7.44/2</f>
        <v>3.72</v>
      </c>
      <c r="G11">
        <f t="shared" si="0"/>
        <v>29.76</v>
      </c>
      <c r="I11">
        <v>8</v>
      </c>
      <c r="J11" s="1">
        <f>25.99/8</f>
        <v>3.2487499999999998</v>
      </c>
      <c r="K11">
        <f t="shared" si="1"/>
        <v>25.99</v>
      </c>
      <c r="M11" s="1">
        <f>25.99/8</f>
        <v>3.2487499999999998</v>
      </c>
    </row>
    <row r="12" spans="1:13">
      <c r="C12" t="s">
        <v>326</v>
      </c>
      <c r="D12" t="s">
        <v>327</v>
      </c>
      <c r="E12">
        <v>4</v>
      </c>
      <c r="F12">
        <v>12.99</v>
      </c>
      <c r="G12">
        <f t="shared" si="0"/>
        <v>51.96</v>
      </c>
      <c r="I12">
        <v>4</v>
      </c>
      <c r="J12">
        <v>12.99</v>
      </c>
      <c r="K12">
        <f t="shared" si="1"/>
        <v>51.96</v>
      </c>
      <c r="M12">
        <v>12.99</v>
      </c>
    </row>
    <row r="13" spans="1:13">
      <c r="G13">
        <f>SUM(G6:G12)</f>
        <v>457.53999999999996</v>
      </c>
      <c r="K13">
        <f>SUM(K6:K12)</f>
        <v>439.37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5:L35"/>
  <sheetViews>
    <sheetView workbookViewId="0">
      <selection activeCell="L26" sqref="L26"/>
    </sheetView>
  </sheetViews>
  <sheetFormatPr baseColWidth="10" defaultRowHeight="16"/>
  <cols>
    <col min="2" max="2" width="14.33203125" customWidth="1"/>
  </cols>
  <sheetData>
    <row r="5" spans="2:9">
      <c r="C5" t="s">
        <v>302</v>
      </c>
    </row>
    <row r="6" spans="2:9">
      <c r="B6">
        <v>0.02</v>
      </c>
      <c r="C6" t="s">
        <v>33</v>
      </c>
      <c r="E6">
        <v>3.5</v>
      </c>
    </row>
    <row r="7" spans="2:9">
      <c r="B7">
        <v>189</v>
      </c>
      <c r="C7" t="s">
        <v>32</v>
      </c>
      <c r="E7">
        <v>25.4</v>
      </c>
    </row>
    <row r="8" spans="2:9">
      <c r="B8">
        <f>B6*B7</f>
        <v>3.7800000000000002</v>
      </c>
      <c r="C8" t="s">
        <v>34</v>
      </c>
      <c r="E8">
        <f>E7*E6</f>
        <v>88.899999999999991</v>
      </c>
    </row>
    <row r="12" spans="2:9">
      <c r="B12" s="3" t="s">
        <v>301</v>
      </c>
    </row>
    <row r="13" spans="2:9">
      <c r="B13" s="3">
        <v>11</v>
      </c>
      <c r="H13" t="s">
        <v>341</v>
      </c>
    </row>
    <row r="14" spans="2:9">
      <c r="C14" s="3" t="s">
        <v>300</v>
      </c>
      <c r="D14" s="3" t="s">
        <v>299</v>
      </c>
      <c r="E14" s="3" t="s">
        <v>297</v>
      </c>
      <c r="F14" s="3" t="s">
        <v>298</v>
      </c>
      <c r="H14" s="3" t="s">
        <v>297</v>
      </c>
      <c r="I14" s="3" t="s">
        <v>298</v>
      </c>
    </row>
    <row r="15" spans="2:9">
      <c r="B15" t="s">
        <v>296</v>
      </c>
      <c r="C15" s="3">
        <v>1</v>
      </c>
      <c r="D15" s="3">
        <v>10.6</v>
      </c>
      <c r="E15" s="21">
        <f>B$13/D15*C15</f>
        <v>1.0377358490566038</v>
      </c>
      <c r="F15" s="21">
        <f t="shared" ref="F15:F21" si="0">B$13*E15</f>
        <v>11.415094339622641</v>
      </c>
      <c r="H15" s="21">
        <v>1</v>
      </c>
      <c r="I15" s="21">
        <f>B$13*H15</f>
        <v>11</v>
      </c>
    </row>
    <row r="16" spans="2:9">
      <c r="B16" t="s">
        <v>308</v>
      </c>
      <c r="C16" s="3">
        <v>1</v>
      </c>
      <c r="D16" s="3">
        <v>8.5</v>
      </c>
      <c r="E16" s="21">
        <f>B$13/D16*C16</f>
        <v>1.2941176470588236</v>
      </c>
      <c r="F16" s="21">
        <f t="shared" si="0"/>
        <v>14.23529411764706</v>
      </c>
      <c r="H16" s="21">
        <v>1.24</v>
      </c>
      <c r="I16" s="21">
        <f t="shared" ref="I16:I21" si="1">B$13*H16</f>
        <v>13.64</v>
      </c>
    </row>
    <row r="17" spans="2:12">
      <c r="B17" t="s">
        <v>305</v>
      </c>
      <c r="C17" s="3">
        <v>1</v>
      </c>
      <c r="D17" s="3">
        <v>7.1</v>
      </c>
      <c r="E17" s="21">
        <f>B$13/D17*C17</f>
        <v>1.5492957746478875</v>
      </c>
      <c r="F17" s="21">
        <f t="shared" si="0"/>
        <v>17.042253521126764</v>
      </c>
      <c r="H17" s="21">
        <v>1.4</v>
      </c>
      <c r="I17" s="21">
        <f t="shared" si="1"/>
        <v>15.399999999999999</v>
      </c>
    </row>
    <row r="18" spans="2:12">
      <c r="B18" t="s">
        <v>306</v>
      </c>
      <c r="C18" s="3">
        <v>1</v>
      </c>
      <c r="D18" s="3">
        <v>7.1</v>
      </c>
      <c r="E18" s="21">
        <f>B$13/D18*C18</f>
        <v>1.5492957746478875</v>
      </c>
      <c r="F18" s="21">
        <f t="shared" si="0"/>
        <v>17.042253521126764</v>
      </c>
      <c r="H18" s="21">
        <v>1.4</v>
      </c>
      <c r="I18" s="21">
        <f t="shared" si="1"/>
        <v>15.399999999999999</v>
      </c>
    </row>
    <row r="19" spans="2:12">
      <c r="B19" t="s">
        <v>307</v>
      </c>
      <c r="C19" s="3">
        <v>1</v>
      </c>
      <c r="D19" s="3">
        <v>7.3</v>
      </c>
      <c r="E19" s="21">
        <f>B$13/D19*C19</f>
        <v>1.5068493150684932</v>
      </c>
      <c r="F19" s="21">
        <f t="shared" si="0"/>
        <v>16.575342465753426</v>
      </c>
      <c r="H19" s="21">
        <v>1.4</v>
      </c>
      <c r="I19" s="21">
        <f t="shared" si="1"/>
        <v>15.399999999999999</v>
      </c>
    </row>
    <row r="20" spans="2:12">
      <c r="B20" t="s">
        <v>295</v>
      </c>
      <c r="C20" s="3">
        <v>1</v>
      </c>
      <c r="D20" s="3" t="s">
        <v>303</v>
      </c>
      <c r="E20" s="21">
        <v>0.42</v>
      </c>
      <c r="F20" s="21">
        <f t="shared" si="0"/>
        <v>4.62</v>
      </c>
      <c r="H20" s="21">
        <v>0.42</v>
      </c>
      <c r="I20" s="21">
        <f t="shared" si="1"/>
        <v>4.62</v>
      </c>
    </row>
    <row r="21" spans="2:12">
      <c r="B21" t="s">
        <v>304</v>
      </c>
      <c r="C21" s="3">
        <v>1</v>
      </c>
      <c r="D21" s="3">
        <v>30</v>
      </c>
      <c r="E21" s="21">
        <f>B$13/D21*C21</f>
        <v>0.36666666666666664</v>
      </c>
      <c r="F21" s="21">
        <f t="shared" si="0"/>
        <v>4.0333333333333332</v>
      </c>
      <c r="H21" s="21">
        <v>0.4</v>
      </c>
      <c r="I21" s="21">
        <f t="shared" si="1"/>
        <v>4.4000000000000004</v>
      </c>
    </row>
    <row r="22" spans="2:12">
      <c r="B22" t="s">
        <v>343</v>
      </c>
      <c r="D22" s="3"/>
      <c r="E22" s="21">
        <f>SUM(E15:E21)</f>
        <v>7.7239610271463617</v>
      </c>
      <c r="F22" s="21">
        <f>SUM(F15:F21)</f>
        <v>84.963571298609992</v>
      </c>
      <c r="H22" s="21">
        <f>SUM(H15:H21)</f>
        <v>7.26</v>
      </c>
      <c r="I22" s="21">
        <f>SUM(I15:I21)</f>
        <v>79.860000000000014</v>
      </c>
    </row>
    <row r="24" spans="2:12">
      <c r="L24" s="23" t="s">
        <v>342</v>
      </c>
    </row>
    <row r="25" spans="2:12">
      <c r="L25">
        <v>64</v>
      </c>
    </row>
    <row r="27" spans="2:12">
      <c r="K27" s="23" t="s">
        <v>345</v>
      </c>
      <c r="L27" s="23" t="s">
        <v>344</v>
      </c>
    </row>
    <row r="28" spans="2:12">
      <c r="K28">
        <v>1</v>
      </c>
      <c r="L28">
        <f>L$25^K28</f>
        <v>64</v>
      </c>
    </row>
    <row r="29" spans="2:12">
      <c r="K29">
        <v>2</v>
      </c>
      <c r="L29">
        <f t="shared" ref="L29:L35" si="2">L$25^K29</f>
        <v>4096</v>
      </c>
    </row>
    <row r="30" spans="2:12">
      <c r="K30">
        <v>3</v>
      </c>
      <c r="L30">
        <f t="shared" si="2"/>
        <v>262144</v>
      </c>
    </row>
    <row r="31" spans="2:12">
      <c r="K31">
        <v>4</v>
      </c>
      <c r="L31">
        <f t="shared" si="2"/>
        <v>16777216</v>
      </c>
    </row>
    <row r="32" spans="2:12">
      <c r="K32">
        <v>5</v>
      </c>
      <c r="L32">
        <f t="shared" si="2"/>
        <v>1073741824</v>
      </c>
    </row>
    <row r="33" spans="11:12">
      <c r="K33">
        <v>6</v>
      </c>
      <c r="L33">
        <f t="shared" si="2"/>
        <v>68719476736</v>
      </c>
    </row>
    <row r="34" spans="11:12">
      <c r="K34">
        <v>7</v>
      </c>
      <c r="L34">
        <f t="shared" si="2"/>
        <v>4398046511104</v>
      </c>
    </row>
    <row r="35" spans="11:12">
      <c r="K35">
        <v>8</v>
      </c>
      <c r="L35">
        <f t="shared" si="2"/>
        <v>281474976710656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14647-7FE3-4241-A06A-2FA35BE4FEEB}">
  <dimension ref="B6:S158"/>
  <sheetViews>
    <sheetView topLeftCell="B138" workbookViewId="0">
      <selection activeCell="D166" sqref="D166"/>
    </sheetView>
  </sheetViews>
  <sheetFormatPr baseColWidth="10" defaultRowHeight="16"/>
  <cols>
    <col min="2" max="2" width="85.33203125" customWidth="1"/>
  </cols>
  <sheetData>
    <row r="6" spans="2:5" ht="21">
      <c r="B6" s="73" t="s">
        <v>707</v>
      </c>
      <c r="D6" s="22">
        <v>0.87</v>
      </c>
      <c r="E6" t="s">
        <v>1139</v>
      </c>
    </row>
    <row r="7" spans="2:5">
      <c r="D7">
        <f>0.87*25.4</f>
        <v>22.097999999999999</v>
      </c>
      <c r="E7" t="s">
        <v>315</v>
      </c>
    </row>
    <row r="8" spans="2:5" ht="18">
      <c r="B8" s="73" t="s">
        <v>700</v>
      </c>
      <c r="D8" s="22">
        <f>22/25.4</f>
        <v>0.86614173228346458</v>
      </c>
      <c r="E8" t="s">
        <v>1137</v>
      </c>
    </row>
    <row r="9" spans="2:5">
      <c r="D9" s="22">
        <f>23/25.4</f>
        <v>0.9055118110236221</v>
      </c>
      <c r="E9" t="s">
        <v>1138</v>
      </c>
    </row>
    <row r="10" spans="2:5" ht="18">
      <c r="B10" s="73" t="s">
        <v>701</v>
      </c>
    </row>
    <row r="12" spans="2:5" ht="18">
      <c r="B12" s="73" t="s">
        <v>702</v>
      </c>
    </row>
    <row r="14" spans="2:5" ht="18">
      <c r="B14" s="73" t="s">
        <v>703</v>
      </c>
    </row>
    <row r="16" spans="2:5" ht="20">
      <c r="B16" s="73" t="s">
        <v>704</v>
      </c>
    </row>
    <row r="18" spans="2:10" ht="20">
      <c r="B18" s="73" t="s">
        <v>705</v>
      </c>
    </row>
    <row r="20" spans="2:10" ht="18">
      <c r="B20" s="74" t="s">
        <v>706</v>
      </c>
    </row>
    <row r="23" spans="2:10">
      <c r="C23" t="s">
        <v>516</v>
      </c>
      <c r="D23">
        <v>1</v>
      </c>
      <c r="E23" t="s">
        <v>708</v>
      </c>
      <c r="G23" t="s">
        <v>516</v>
      </c>
      <c r="H23">
        <v>1</v>
      </c>
      <c r="I23">
        <v>1</v>
      </c>
      <c r="J23" t="s">
        <v>708</v>
      </c>
    </row>
    <row r="24" spans="2:10">
      <c r="C24" t="s">
        <v>709</v>
      </c>
      <c r="D24">
        <v>1.41</v>
      </c>
      <c r="E24" t="s">
        <v>715</v>
      </c>
      <c r="G24" t="s">
        <v>709</v>
      </c>
      <c r="H24">
        <v>1.41</v>
      </c>
      <c r="I24">
        <v>1.41</v>
      </c>
      <c r="J24" t="s">
        <v>715</v>
      </c>
    </row>
    <row r="25" spans="2:10">
      <c r="C25" t="s">
        <v>710</v>
      </c>
      <c r="D25">
        <v>14.7</v>
      </c>
      <c r="E25" t="s">
        <v>714</v>
      </c>
      <c r="G25" t="s">
        <v>710</v>
      </c>
      <c r="H25">
        <v>14.7</v>
      </c>
      <c r="I25">
        <v>1.5</v>
      </c>
      <c r="J25" t="s">
        <v>714</v>
      </c>
    </row>
    <row r="26" spans="2:10">
      <c r="C26" t="s">
        <v>711</v>
      </c>
      <c r="D26" s="66">
        <f>D29+14.7</f>
        <v>60</v>
      </c>
      <c r="E26" t="s">
        <v>714</v>
      </c>
      <c r="G26" t="s">
        <v>711</v>
      </c>
      <c r="H26" s="66">
        <v>30</v>
      </c>
      <c r="I26" s="66">
        <v>14.7</v>
      </c>
      <c r="J26" t="s">
        <v>714</v>
      </c>
    </row>
    <row r="28" spans="2:10">
      <c r="C28" t="s">
        <v>713</v>
      </c>
      <c r="D28" s="26">
        <v>5</v>
      </c>
      <c r="E28" t="s">
        <v>294</v>
      </c>
      <c r="G28" t="s">
        <v>713</v>
      </c>
      <c r="H28" s="26">
        <v>12</v>
      </c>
      <c r="I28" s="26">
        <v>7</v>
      </c>
      <c r="J28" t="s">
        <v>294</v>
      </c>
    </row>
    <row r="29" spans="2:10">
      <c r="C29" t="s">
        <v>712</v>
      </c>
      <c r="D29" s="26">
        <v>45.3</v>
      </c>
      <c r="E29" t="s">
        <v>18</v>
      </c>
      <c r="G29" t="s">
        <v>712</v>
      </c>
      <c r="H29" s="26">
        <v>45.3</v>
      </c>
      <c r="I29" s="26">
        <v>45.3</v>
      </c>
      <c r="J29" t="s">
        <v>18</v>
      </c>
    </row>
    <row r="31" spans="2:10">
      <c r="C31" t="s">
        <v>718</v>
      </c>
      <c r="D31" s="22">
        <f>(144*D23*D25*D28*D24/(33000*(D24-1)))*((D26/D25)^((D24-1)/(D23*D24))-1)</f>
        <v>0.55732237182397459</v>
      </c>
      <c r="G31" t="s">
        <v>718</v>
      </c>
      <c r="H31" s="22">
        <f>(144*H23*H25*H28*H24/(33000*(H24-1)))*((H26/H25)^((H24-1)/(H23*H24))-1)</f>
        <v>0.61019754123029601</v>
      </c>
      <c r="I31" s="22">
        <f>(144*I23*I25*I28*I24/(33000*(I24-1)))*((I26/I25)^((I24-1)/(I23*I24))-1)</f>
        <v>0.14841644391600728</v>
      </c>
    </row>
    <row r="32" spans="2:10">
      <c r="C32" t="s">
        <v>717</v>
      </c>
      <c r="D32">
        <v>0.8</v>
      </c>
      <c r="G32" t="s">
        <v>717</v>
      </c>
      <c r="H32">
        <v>0.8</v>
      </c>
      <c r="I32">
        <v>0.8</v>
      </c>
    </row>
    <row r="33" spans="3:13">
      <c r="C33" t="s">
        <v>716</v>
      </c>
      <c r="D33" s="1">
        <f>D31*0.7457/D32</f>
        <v>0.51949411583642224</v>
      </c>
      <c r="G33" t="s">
        <v>716</v>
      </c>
      <c r="H33" s="1">
        <f>H31*0.7457/H32</f>
        <v>0.56878038311928969</v>
      </c>
      <c r="I33" s="1">
        <f>I31*0.7457/I32</f>
        <v>0.13834267778520828</v>
      </c>
    </row>
    <row r="38" spans="3:13">
      <c r="C38" t="s">
        <v>516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3:13">
      <c r="C39" t="s">
        <v>709</v>
      </c>
      <c r="D39">
        <v>1.41</v>
      </c>
      <c r="E39">
        <v>1.41</v>
      </c>
      <c r="F39">
        <v>1.41</v>
      </c>
      <c r="G39">
        <v>1.41</v>
      </c>
      <c r="H39">
        <v>1.41</v>
      </c>
      <c r="I39">
        <v>1.41</v>
      </c>
      <c r="J39">
        <v>1.41</v>
      </c>
      <c r="K39">
        <v>1.41</v>
      </c>
      <c r="L39">
        <v>1.41</v>
      </c>
      <c r="M39">
        <v>1.41</v>
      </c>
    </row>
    <row r="40" spans="3:13">
      <c r="C40" t="s">
        <v>710</v>
      </c>
      <c r="D40">
        <v>14.7</v>
      </c>
      <c r="E40">
        <v>14.7</v>
      </c>
      <c r="F40">
        <v>14.7</v>
      </c>
      <c r="G40">
        <v>14.7</v>
      </c>
      <c r="H40">
        <v>14.7</v>
      </c>
      <c r="I40">
        <v>14.7</v>
      </c>
      <c r="J40">
        <v>14.7</v>
      </c>
      <c r="K40">
        <v>14.7</v>
      </c>
      <c r="L40">
        <v>14.7</v>
      </c>
      <c r="M40">
        <v>14.7</v>
      </c>
    </row>
    <row r="41" spans="3:13">
      <c r="C41" t="s">
        <v>711</v>
      </c>
      <c r="D41" s="66">
        <f t="shared" ref="D41:M41" si="0">D44+14.7</f>
        <v>29.7</v>
      </c>
      <c r="E41" s="66">
        <f t="shared" si="0"/>
        <v>29.7</v>
      </c>
      <c r="F41" s="66">
        <f t="shared" si="0"/>
        <v>29.7</v>
      </c>
      <c r="G41" s="66">
        <f t="shared" si="0"/>
        <v>29.7</v>
      </c>
      <c r="H41" s="66">
        <f t="shared" si="0"/>
        <v>29.7</v>
      </c>
      <c r="I41" s="66">
        <f t="shared" si="0"/>
        <v>29.7</v>
      </c>
      <c r="J41" s="66">
        <f t="shared" si="0"/>
        <v>29.7</v>
      </c>
      <c r="K41" s="66">
        <f t="shared" si="0"/>
        <v>29.7</v>
      </c>
      <c r="L41" s="66">
        <f t="shared" si="0"/>
        <v>29.7</v>
      </c>
      <c r="M41" s="66">
        <f t="shared" si="0"/>
        <v>29.7</v>
      </c>
    </row>
    <row r="43" spans="3:13">
      <c r="C43" t="s">
        <v>713</v>
      </c>
      <c r="D43" s="26">
        <v>2</v>
      </c>
      <c r="E43" s="26">
        <v>4</v>
      </c>
      <c r="F43" s="26">
        <v>6</v>
      </c>
      <c r="G43" s="26">
        <v>8</v>
      </c>
      <c r="H43" s="26">
        <v>10</v>
      </c>
      <c r="I43" s="26">
        <v>12</v>
      </c>
      <c r="J43" s="26">
        <v>14</v>
      </c>
      <c r="K43" s="26">
        <v>16</v>
      </c>
      <c r="L43" s="26">
        <v>18</v>
      </c>
      <c r="M43" s="26">
        <v>20</v>
      </c>
    </row>
    <row r="44" spans="3:13">
      <c r="C44" t="s">
        <v>712</v>
      </c>
      <c r="D44" s="26">
        <v>15</v>
      </c>
      <c r="E44" s="26">
        <v>15</v>
      </c>
      <c r="F44" s="26">
        <v>15</v>
      </c>
      <c r="G44" s="26">
        <v>15</v>
      </c>
      <c r="H44" s="26">
        <v>15</v>
      </c>
      <c r="I44" s="26">
        <v>15</v>
      </c>
      <c r="J44" s="26">
        <v>15</v>
      </c>
      <c r="K44" s="26">
        <v>15</v>
      </c>
      <c r="L44" s="26">
        <v>15</v>
      </c>
      <c r="M44" s="26">
        <v>15</v>
      </c>
    </row>
    <row r="46" spans="3:13">
      <c r="C46" t="s">
        <v>718</v>
      </c>
      <c r="D46" s="22">
        <f t="shared" ref="D46:M46" si="1">(144*D38*D40*D43*D39/(33000*(D39-1)))*((D41/D40)^((D39-1)/(D38*D39))-1)</f>
        <v>0.10011532880655918</v>
      </c>
      <c r="E46" s="22">
        <f t="shared" si="1"/>
        <v>0.20023065761311837</v>
      </c>
      <c r="F46" s="22">
        <f t="shared" si="1"/>
        <v>0.30034598641967758</v>
      </c>
      <c r="G46" s="22">
        <f t="shared" si="1"/>
        <v>0.40046131522623674</v>
      </c>
      <c r="H46" s="22">
        <f t="shared" si="1"/>
        <v>0.50057664403279589</v>
      </c>
      <c r="I46" s="22">
        <f t="shared" si="1"/>
        <v>0.60069197283935516</v>
      </c>
      <c r="J46" s="22">
        <f t="shared" si="1"/>
        <v>0.7008073016459142</v>
      </c>
      <c r="K46" s="22">
        <f t="shared" si="1"/>
        <v>0.80092263045247347</v>
      </c>
      <c r="L46" s="22">
        <f t="shared" si="1"/>
        <v>0.90103795925903263</v>
      </c>
      <c r="M46" s="22">
        <f t="shared" si="1"/>
        <v>1.0011532880655918</v>
      </c>
    </row>
    <row r="47" spans="3:13">
      <c r="C47" t="s">
        <v>717</v>
      </c>
      <c r="D47">
        <v>0.8</v>
      </c>
      <c r="E47">
        <v>0.8</v>
      </c>
      <c r="F47">
        <v>0.8</v>
      </c>
      <c r="G47">
        <v>0.8</v>
      </c>
      <c r="H47">
        <v>0.8</v>
      </c>
      <c r="I47">
        <v>0.8</v>
      </c>
      <c r="J47">
        <v>0.8</v>
      </c>
      <c r="K47">
        <v>0.8</v>
      </c>
      <c r="L47">
        <v>0.8</v>
      </c>
      <c r="M47">
        <v>0.8</v>
      </c>
    </row>
    <row r="48" spans="3:13">
      <c r="C48" t="s">
        <v>716</v>
      </c>
      <c r="D48" s="1">
        <f t="shared" ref="D48:M48" si="2">D46*0.7457/D47</f>
        <v>9.3320000863813979E-2</v>
      </c>
      <c r="E48" s="1">
        <f t="shared" si="2"/>
        <v>0.18664000172762796</v>
      </c>
      <c r="F48" s="1">
        <f t="shared" si="2"/>
        <v>0.27996000259144199</v>
      </c>
      <c r="G48" s="1">
        <f t="shared" si="2"/>
        <v>0.37328000345525592</v>
      </c>
      <c r="H48" s="1">
        <f t="shared" si="2"/>
        <v>0.46660000431906989</v>
      </c>
      <c r="I48" s="1">
        <f t="shared" si="2"/>
        <v>0.55992000518288398</v>
      </c>
      <c r="J48" s="1">
        <f t="shared" si="2"/>
        <v>0.65324000604669774</v>
      </c>
      <c r="K48" s="1">
        <f t="shared" si="2"/>
        <v>0.74656000691051183</v>
      </c>
      <c r="L48" s="1">
        <f t="shared" si="2"/>
        <v>0.83988000777432581</v>
      </c>
      <c r="M48" s="1">
        <f t="shared" si="2"/>
        <v>0.93320000863813979</v>
      </c>
    </row>
    <row r="52" spans="3:13">
      <c r="C52" t="s">
        <v>516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3:13">
      <c r="C53" t="s">
        <v>709</v>
      </c>
      <c r="D53">
        <v>1.41</v>
      </c>
      <c r="E53">
        <v>1.41</v>
      </c>
      <c r="F53">
        <v>1.41</v>
      </c>
      <c r="G53">
        <v>1.41</v>
      </c>
      <c r="H53">
        <v>1.41</v>
      </c>
      <c r="I53">
        <v>1.41</v>
      </c>
      <c r="J53">
        <v>1.41</v>
      </c>
      <c r="K53">
        <v>1.41</v>
      </c>
      <c r="L53">
        <v>1.41</v>
      </c>
      <c r="M53">
        <v>1.41</v>
      </c>
    </row>
    <row r="54" spans="3:13">
      <c r="C54" t="s">
        <v>710</v>
      </c>
      <c r="D54">
        <v>14.7</v>
      </c>
      <c r="E54">
        <v>14.7</v>
      </c>
      <c r="F54">
        <v>14.7</v>
      </c>
      <c r="G54">
        <v>14.7</v>
      </c>
      <c r="H54">
        <v>14.7</v>
      </c>
      <c r="I54">
        <v>14.7</v>
      </c>
      <c r="J54">
        <v>14.7</v>
      </c>
      <c r="K54">
        <v>14.7</v>
      </c>
      <c r="L54">
        <v>14.7</v>
      </c>
      <c r="M54">
        <v>14.7</v>
      </c>
    </row>
    <row r="55" spans="3:13">
      <c r="C55" t="s">
        <v>711</v>
      </c>
      <c r="D55" s="66">
        <f t="shared" ref="D55:M55" si="3">D58+14.7</f>
        <v>37.200000000000003</v>
      </c>
      <c r="E55" s="66">
        <f t="shared" si="3"/>
        <v>37.200000000000003</v>
      </c>
      <c r="F55" s="66">
        <f t="shared" si="3"/>
        <v>37.200000000000003</v>
      </c>
      <c r="G55" s="66">
        <f t="shared" si="3"/>
        <v>37.200000000000003</v>
      </c>
      <c r="H55" s="66">
        <f t="shared" si="3"/>
        <v>37.200000000000003</v>
      </c>
      <c r="I55" s="66">
        <f t="shared" si="3"/>
        <v>37.200000000000003</v>
      </c>
      <c r="J55" s="66">
        <f t="shared" si="3"/>
        <v>37.200000000000003</v>
      </c>
      <c r="K55" s="66">
        <f t="shared" si="3"/>
        <v>37.200000000000003</v>
      </c>
      <c r="L55" s="66">
        <f t="shared" si="3"/>
        <v>37.200000000000003</v>
      </c>
      <c r="M55" s="66">
        <f t="shared" si="3"/>
        <v>37.200000000000003</v>
      </c>
    </row>
    <row r="57" spans="3:13">
      <c r="C57" t="s">
        <v>713</v>
      </c>
      <c r="D57" s="26">
        <v>2</v>
      </c>
      <c r="E57" s="26">
        <v>4</v>
      </c>
      <c r="F57" s="26">
        <v>6</v>
      </c>
      <c r="G57" s="26">
        <v>8</v>
      </c>
      <c r="H57" s="26">
        <v>10</v>
      </c>
      <c r="I57" s="26">
        <v>12</v>
      </c>
      <c r="J57" s="26">
        <v>14</v>
      </c>
      <c r="K57" s="26">
        <v>16</v>
      </c>
      <c r="L57" s="26">
        <v>18</v>
      </c>
      <c r="M57" s="26">
        <v>20</v>
      </c>
    </row>
    <row r="58" spans="3:13">
      <c r="C58" t="s">
        <v>712</v>
      </c>
      <c r="D58" s="26">
        <v>22.5</v>
      </c>
      <c r="E58" s="26">
        <v>22.5</v>
      </c>
      <c r="F58" s="26">
        <v>22.5</v>
      </c>
      <c r="G58" s="26">
        <v>22.5</v>
      </c>
      <c r="H58" s="26">
        <v>22.5</v>
      </c>
      <c r="I58" s="26">
        <v>22.5</v>
      </c>
      <c r="J58" s="26">
        <v>22.5</v>
      </c>
      <c r="K58" s="26">
        <v>22.5</v>
      </c>
      <c r="L58" s="26">
        <v>22.5</v>
      </c>
      <c r="M58" s="26">
        <v>22.5</v>
      </c>
    </row>
    <row r="60" spans="3:13">
      <c r="C60" t="s">
        <v>718</v>
      </c>
      <c r="D60" s="22">
        <f t="shared" ref="D60:M60" si="4">(144*D52*D54*D57*D53/(33000*(D53-1)))*((D55/D54)^((D53-1)/(D52*D53))-1)</f>
        <v>0.13674228357678189</v>
      </c>
      <c r="E60" s="22">
        <f t="shared" si="4"/>
        <v>0.27348456715356378</v>
      </c>
      <c r="F60" s="22">
        <f t="shared" si="4"/>
        <v>0.41022685073034565</v>
      </c>
      <c r="G60" s="22">
        <f t="shared" si="4"/>
        <v>0.54696913430712757</v>
      </c>
      <c r="H60" s="22">
        <f t="shared" si="4"/>
        <v>0.68371141788390943</v>
      </c>
      <c r="I60" s="22">
        <f t="shared" si="4"/>
        <v>0.8204537014606913</v>
      </c>
      <c r="J60" s="22">
        <f t="shared" si="4"/>
        <v>0.95719598503747305</v>
      </c>
      <c r="K60" s="22">
        <f t="shared" si="4"/>
        <v>1.0939382686142551</v>
      </c>
      <c r="L60" s="22">
        <f t="shared" si="4"/>
        <v>1.2306805521910371</v>
      </c>
      <c r="M60" s="22">
        <f t="shared" si="4"/>
        <v>1.3674228357678189</v>
      </c>
    </row>
    <row r="61" spans="3:13">
      <c r="C61" t="s">
        <v>717</v>
      </c>
      <c r="D61">
        <v>0.8</v>
      </c>
      <c r="E61">
        <v>0.8</v>
      </c>
      <c r="F61">
        <v>0.8</v>
      </c>
      <c r="G61">
        <v>0.8</v>
      </c>
      <c r="H61">
        <v>0.8</v>
      </c>
      <c r="I61">
        <v>0.8</v>
      </c>
      <c r="J61">
        <v>0.8</v>
      </c>
      <c r="K61">
        <v>0.8</v>
      </c>
      <c r="L61">
        <v>0.8</v>
      </c>
      <c r="M61">
        <v>0.8</v>
      </c>
    </row>
    <row r="62" spans="3:13">
      <c r="C62" t="s">
        <v>716</v>
      </c>
      <c r="D62" s="1">
        <f t="shared" ref="D62:M62" si="5">D60*0.7457/D61</f>
        <v>0.12746090107900782</v>
      </c>
      <c r="E62" s="1">
        <f t="shared" si="5"/>
        <v>0.25492180215801563</v>
      </c>
      <c r="F62" s="1">
        <f t="shared" si="5"/>
        <v>0.38238270323702345</v>
      </c>
      <c r="G62" s="1">
        <f t="shared" si="5"/>
        <v>0.50984360431603126</v>
      </c>
      <c r="H62" s="1">
        <f t="shared" si="5"/>
        <v>0.63730450539503902</v>
      </c>
      <c r="I62" s="1">
        <f t="shared" si="5"/>
        <v>0.76476540647404689</v>
      </c>
      <c r="J62" s="1">
        <f t="shared" si="5"/>
        <v>0.89222630755305454</v>
      </c>
      <c r="K62" s="1">
        <f t="shared" si="5"/>
        <v>1.0196872086320625</v>
      </c>
      <c r="L62" s="1">
        <f t="shared" si="5"/>
        <v>1.1471481097110705</v>
      </c>
      <c r="M62" s="1">
        <f t="shared" si="5"/>
        <v>1.274609010790078</v>
      </c>
    </row>
    <row r="66" spans="3:13">
      <c r="C66" t="s">
        <v>516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</row>
    <row r="67" spans="3:13">
      <c r="C67" t="s">
        <v>709</v>
      </c>
      <c r="D67">
        <v>1.41</v>
      </c>
      <c r="E67">
        <v>1.41</v>
      </c>
      <c r="F67">
        <v>1.41</v>
      </c>
      <c r="G67">
        <v>1.41</v>
      </c>
      <c r="H67">
        <v>1.41</v>
      </c>
      <c r="I67">
        <v>1.41</v>
      </c>
      <c r="J67">
        <v>1.41</v>
      </c>
      <c r="K67">
        <v>1.41</v>
      </c>
      <c r="L67">
        <v>1.41</v>
      </c>
      <c r="M67">
        <v>1.41</v>
      </c>
    </row>
    <row r="68" spans="3:13">
      <c r="C68" t="s">
        <v>710</v>
      </c>
      <c r="D68">
        <v>14.7</v>
      </c>
      <c r="E68">
        <v>14.7</v>
      </c>
      <c r="F68">
        <v>14.7</v>
      </c>
      <c r="G68">
        <v>14.7</v>
      </c>
      <c r="H68">
        <v>14.7</v>
      </c>
      <c r="I68">
        <v>14.7</v>
      </c>
      <c r="J68">
        <v>14.7</v>
      </c>
      <c r="K68">
        <v>14.7</v>
      </c>
      <c r="L68">
        <v>14.7</v>
      </c>
      <c r="M68">
        <v>14.7</v>
      </c>
    </row>
    <row r="69" spans="3:13">
      <c r="C69" t="s">
        <v>711</v>
      </c>
      <c r="D69" s="66">
        <f t="shared" ref="D69:M69" si="6">D72+14.7</f>
        <v>44.7</v>
      </c>
      <c r="E69" s="66">
        <f t="shared" si="6"/>
        <v>44.7</v>
      </c>
      <c r="F69" s="66">
        <f t="shared" si="6"/>
        <v>44.7</v>
      </c>
      <c r="G69" s="66">
        <f t="shared" si="6"/>
        <v>44.7</v>
      </c>
      <c r="H69" s="66">
        <f t="shared" si="6"/>
        <v>44.7</v>
      </c>
      <c r="I69" s="66">
        <f t="shared" si="6"/>
        <v>44.7</v>
      </c>
      <c r="J69" s="66">
        <f t="shared" si="6"/>
        <v>44.7</v>
      </c>
      <c r="K69" s="66">
        <f t="shared" si="6"/>
        <v>44.7</v>
      </c>
      <c r="L69" s="66">
        <f t="shared" si="6"/>
        <v>44.7</v>
      </c>
      <c r="M69" s="66">
        <f t="shared" si="6"/>
        <v>44.7</v>
      </c>
    </row>
    <row r="71" spans="3:13">
      <c r="C71" t="s">
        <v>713</v>
      </c>
      <c r="D71" s="26">
        <v>2</v>
      </c>
      <c r="E71" s="26">
        <v>4</v>
      </c>
      <c r="F71" s="26">
        <v>6</v>
      </c>
      <c r="G71" s="26">
        <v>8</v>
      </c>
      <c r="H71" s="26">
        <v>10</v>
      </c>
      <c r="I71" s="26">
        <v>12</v>
      </c>
      <c r="J71" s="26">
        <v>14</v>
      </c>
      <c r="K71" s="26">
        <v>16</v>
      </c>
      <c r="L71" s="26">
        <v>18</v>
      </c>
      <c r="M71" s="26">
        <v>20</v>
      </c>
    </row>
    <row r="72" spans="3:13">
      <c r="C72" t="s">
        <v>712</v>
      </c>
      <c r="D72" s="26">
        <v>30</v>
      </c>
      <c r="E72" s="26">
        <v>30</v>
      </c>
      <c r="F72" s="26">
        <v>30</v>
      </c>
      <c r="G72" s="26">
        <v>30</v>
      </c>
      <c r="H72" s="26">
        <v>30</v>
      </c>
      <c r="I72" s="26">
        <v>30</v>
      </c>
      <c r="J72" s="26">
        <v>30</v>
      </c>
      <c r="K72" s="26">
        <v>30</v>
      </c>
      <c r="L72" s="26">
        <v>30</v>
      </c>
      <c r="M72" s="26">
        <v>30</v>
      </c>
    </row>
    <row r="74" spans="3:13">
      <c r="C74" t="s">
        <v>718</v>
      </c>
      <c r="D74" s="22">
        <f t="shared" ref="D74:M74" si="7">(144*D66*D68*D71*D67/(33000*(D67-1)))*((D69/D68)^((D67-1)/(D66*D67))-1)</f>
        <v>0.16844673623933493</v>
      </c>
      <c r="E74" s="22">
        <f t="shared" si="7"/>
        <v>0.33689347247866985</v>
      </c>
      <c r="F74" s="22">
        <f t="shared" si="7"/>
        <v>0.50534020871800478</v>
      </c>
      <c r="G74" s="22">
        <f t="shared" si="7"/>
        <v>0.67378694495733971</v>
      </c>
      <c r="H74" s="22">
        <f t="shared" si="7"/>
        <v>0.84223368119667463</v>
      </c>
      <c r="I74" s="22">
        <f t="shared" si="7"/>
        <v>1.0106804174360096</v>
      </c>
      <c r="J74" s="22">
        <f t="shared" si="7"/>
        <v>1.1791271536753443</v>
      </c>
      <c r="K74" s="22">
        <f t="shared" si="7"/>
        <v>1.3475738899146794</v>
      </c>
      <c r="L74" s="22">
        <f t="shared" si="7"/>
        <v>1.5160206261540143</v>
      </c>
      <c r="M74" s="22">
        <f t="shared" si="7"/>
        <v>1.6844673623933493</v>
      </c>
    </row>
    <row r="75" spans="3:13">
      <c r="C75" t="s">
        <v>717</v>
      </c>
      <c r="D75">
        <v>0.8</v>
      </c>
      <c r="E75">
        <v>0.8</v>
      </c>
      <c r="F75">
        <v>0.8</v>
      </c>
      <c r="G75">
        <v>0.8</v>
      </c>
      <c r="H75">
        <v>0.8</v>
      </c>
      <c r="I75">
        <v>0.8</v>
      </c>
      <c r="J75">
        <v>0.8</v>
      </c>
      <c r="K75">
        <v>0.8</v>
      </c>
      <c r="L75">
        <v>0.8</v>
      </c>
      <c r="M75">
        <v>0.8</v>
      </c>
    </row>
    <row r="76" spans="3:13">
      <c r="C76" t="s">
        <v>716</v>
      </c>
      <c r="D76" s="1">
        <f t="shared" ref="D76:M76" si="8">D74*0.7457/D75</f>
        <v>0.15701341401709007</v>
      </c>
      <c r="E76" s="1">
        <f t="shared" si="8"/>
        <v>0.31402682803418014</v>
      </c>
      <c r="F76" s="1">
        <f t="shared" si="8"/>
        <v>0.47104024205127021</v>
      </c>
      <c r="G76" s="1">
        <f t="shared" si="8"/>
        <v>0.62805365606836028</v>
      </c>
      <c r="H76" s="1">
        <f t="shared" si="8"/>
        <v>0.78506707008545029</v>
      </c>
      <c r="I76" s="1">
        <f t="shared" si="8"/>
        <v>0.94208048410254042</v>
      </c>
      <c r="J76" s="1">
        <f t="shared" si="8"/>
        <v>1.0990938981196303</v>
      </c>
      <c r="K76" s="1">
        <f t="shared" si="8"/>
        <v>1.2561073121367206</v>
      </c>
      <c r="L76" s="1">
        <f t="shared" si="8"/>
        <v>1.4131207261538106</v>
      </c>
      <c r="M76" s="1">
        <f t="shared" si="8"/>
        <v>1.5701341401709006</v>
      </c>
    </row>
    <row r="77" spans="3:13">
      <c r="D77" s="26"/>
      <c r="E77" s="26"/>
      <c r="F77" s="26"/>
      <c r="G77" s="26"/>
      <c r="H77" s="26"/>
      <c r="I77" s="26"/>
      <c r="J77" s="26"/>
      <c r="K77" s="26"/>
      <c r="L77" s="26"/>
      <c r="M77" s="26"/>
    </row>
    <row r="78" spans="3:13">
      <c r="D78" s="26"/>
      <c r="E78" s="26"/>
      <c r="F78" s="26"/>
      <c r="G78" s="26"/>
      <c r="H78" s="26"/>
      <c r="I78" s="26"/>
      <c r="J78" s="26"/>
      <c r="K78" s="26"/>
      <c r="L78" s="26"/>
      <c r="M78" s="26"/>
    </row>
    <row r="80" spans="3:13">
      <c r="D80" s="22"/>
      <c r="E80" s="22"/>
      <c r="F80" s="22"/>
      <c r="G80" s="22"/>
      <c r="H80" s="22"/>
      <c r="I80" s="22"/>
      <c r="J80" s="22"/>
      <c r="K80" s="22"/>
      <c r="L80" s="22"/>
      <c r="M80" s="22"/>
    </row>
    <row r="82" spans="3:19"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3:19">
      <c r="D83">
        <f>D71</f>
        <v>2</v>
      </c>
      <c r="E83">
        <f t="shared" ref="E83:M83" si="9">E71</f>
        <v>4</v>
      </c>
      <c r="F83">
        <f t="shared" si="9"/>
        <v>6</v>
      </c>
      <c r="G83">
        <f t="shared" si="9"/>
        <v>8</v>
      </c>
      <c r="H83">
        <f t="shared" si="9"/>
        <v>10</v>
      </c>
      <c r="I83">
        <f t="shared" si="9"/>
        <v>12</v>
      </c>
      <c r="J83">
        <f t="shared" si="9"/>
        <v>14</v>
      </c>
      <c r="K83">
        <f t="shared" si="9"/>
        <v>16</v>
      </c>
      <c r="L83">
        <f t="shared" si="9"/>
        <v>18</v>
      </c>
      <c r="M83">
        <f t="shared" si="9"/>
        <v>20</v>
      </c>
    </row>
    <row r="84" spans="3:19">
      <c r="C84" t="s">
        <v>945</v>
      </c>
      <c r="D84" s="1">
        <f>D48</f>
        <v>9.3320000863813979E-2</v>
      </c>
      <c r="E84" s="1">
        <f t="shared" ref="E84:M84" si="10">E48</f>
        <v>0.18664000172762796</v>
      </c>
      <c r="F84" s="1">
        <f t="shared" si="10"/>
        <v>0.27996000259144199</v>
      </c>
      <c r="G84" s="1">
        <f t="shared" si="10"/>
        <v>0.37328000345525592</v>
      </c>
      <c r="H84" s="1">
        <f t="shared" si="10"/>
        <v>0.46660000431906989</v>
      </c>
      <c r="I84" s="1">
        <f t="shared" si="10"/>
        <v>0.55992000518288398</v>
      </c>
      <c r="J84" s="1">
        <f t="shared" si="10"/>
        <v>0.65324000604669774</v>
      </c>
      <c r="K84" s="1">
        <f t="shared" si="10"/>
        <v>0.74656000691051183</v>
      </c>
      <c r="L84" s="1">
        <f t="shared" si="10"/>
        <v>0.83988000777432581</v>
      </c>
      <c r="M84" s="1">
        <f t="shared" si="10"/>
        <v>0.93320000863813979</v>
      </c>
    </row>
    <row r="85" spans="3:19">
      <c r="C85" t="s">
        <v>947</v>
      </c>
      <c r="D85" s="1">
        <f>D62</f>
        <v>0.12746090107900782</v>
      </c>
      <c r="E85" s="1">
        <f t="shared" ref="E85:M85" si="11">E62</f>
        <v>0.25492180215801563</v>
      </c>
      <c r="F85" s="1">
        <f t="shared" si="11"/>
        <v>0.38238270323702345</v>
      </c>
      <c r="G85" s="1">
        <f t="shared" si="11"/>
        <v>0.50984360431603126</v>
      </c>
      <c r="H85" s="1">
        <f t="shared" si="11"/>
        <v>0.63730450539503902</v>
      </c>
      <c r="I85" s="1">
        <f t="shared" si="11"/>
        <v>0.76476540647404689</v>
      </c>
      <c r="J85" s="1">
        <f t="shared" si="11"/>
        <v>0.89222630755305454</v>
      </c>
      <c r="K85" s="1">
        <f t="shared" si="11"/>
        <v>1.0196872086320625</v>
      </c>
      <c r="L85" s="1">
        <f t="shared" si="11"/>
        <v>1.1471481097110705</v>
      </c>
      <c r="M85" s="1">
        <f t="shared" si="11"/>
        <v>1.274609010790078</v>
      </c>
    </row>
    <row r="86" spans="3:19">
      <c r="C86" t="s">
        <v>946</v>
      </c>
      <c r="D86" s="1">
        <f>D76</f>
        <v>0.15701341401709007</v>
      </c>
      <c r="E86" s="1">
        <f t="shared" ref="E86:M86" si="12">E76</f>
        <v>0.31402682803418014</v>
      </c>
      <c r="F86" s="1">
        <f t="shared" si="12"/>
        <v>0.47104024205127021</v>
      </c>
      <c r="G86" s="1">
        <f t="shared" si="12"/>
        <v>0.62805365606836028</v>
      </c>
      <c r="H86" s="1">
        <f t="shared" si="12"/>
        <v>0.78506707008545029</v>
      </c>
      <c r="I86" s="1">
        <f t="shared" si="12"/>
        <v>0.94208048410254042</v>
      </c>
      <c r="J86" s="1">
        <f t="shared" si="12"/>
        <v>1.0990938981196303</v>
      </c>
      <c r="K86" s="1">
        <f t="shared" si="12"/>
        <v>1.2561073121367206</v>
      </c>
      <c r="L86" s="1">
        <f t="shared" si="12"/>
        <v>1.4131207261538106</v>
      </c>
      <c r="M86" s="1">
        <f t="shared" si="12"/>
        <v>1.5701341401709006</v>
      </c>
    </row>
    <row r="90" spans="3:19">
      <c r="C90" s="34" t="s">
        <v>1080</v>
      </c>
    </row>
    <row r="91" spans="3:19">
      <c r="C91" s="3" t="s">
        <v>1066</v>
      </c>
      <c r="D91" s="3" t="s">
        <v>1077</v>
      </c>
      <c r="E91" s="3" t="s">
        <v>1065</v>
      </c>
      <c r="F91" s="3" t="s">
        <v>1075</v>
      </c>
      <c r="G91" s="3" t="s">
        <v>1030</v>
      </c>
      <c r="H91" s="3" t="s">
        <v>235</v>
      </c>
      <c r="I91" s="3" t="s">
        <v>1076</v>
      </c>
      <c r="J91" s="3" t="s">
        <v>820</v>
      </c>
      <c r="K91" s="3" t="s">
        <v>1081</v>
      </c>
      <c r="L91" s="3" t="s">
        <v>709</v>
      </c>
      <c r="M91" s="3" t="s">
        <v>710</v>
      </c>
      <c r="N91" s="3" t="s">
        <v>711</v>
      </c>
      <c r="O91" s="3" t="s">
        <v>713</v>
      </c>
      <c r="P91" s="3" t="s">
        <v>712</v>
      </c>
      <c r="Q91" s="3" t="s">
        <v>1078</v>
      </c>
      <c r="R91" s="3" t="s">
        <v>717</v>
      </c>
      <c r="S91" s="3" t="s">
        <v>1079</v>
      </c>
    </row>
    <row r="92" spans="3:19">
      <c r="C92" s="3">
        <v>1750</v>
      </c>
      <c r="D92" s="3">
        <v>0.3</v>
      </c>
      <c r="E92" s="3">
        <f>D92*C92</f>
        <v>525</v>
      </c>
      <c r="F92" s="3">
        <v>0.8</v>
      </c>
      <c r="G92" s="3">
        <f>E92*F92</f>
        <v>420</v>
      </c>
      <c r="H92" s="5">
        <f>G92/28.3</f>
        <v>14.840989399293285</v>
      </c>
      <c r="I92" s="3">
        <v>22</v>
      </c>
      <c r="J92" s="21">
        <f>Q92</f>
        <v>0.9978536578092374</v>
      </c>
      <c r="K92">
        <v>1</v>
      </c>
      <c r="L92">
        <v>1.41</v>
      </c>
      <c r="M92">
        <v>14.7</v>
      </c>
      <c r="N92" s="66">
        <f>P92+14.7</f>
        <v>36.700000000000003</v>
      </c>
      <c r="O92" s="27">
        <f t="shared" ref="O92:P95" si="13">H92</f>
        <v>14.840989399293285</v>
      </c>
      <c r="P92" s="26">
        <f t="shared" si="13"/>
        <v>22</v>
      </c>
      <c r="Q92" s="22">
        <f>(144*K92*M92*O92*L92/(33000*(L92-1)))*((N92/M92)^((L92-1)/(K92*L92))-1)</f>
        <v>0.9978536578092374</v>
      </c>
      <c r="R92">
        <v>0.8</v>
      </c>
      <c r="S92" s="1">
        <f>Q92*0.7457/R92</f>
        <v>0.93012434078543549</v>
      </c>
    </row>
    <row r="93" spans="3:19">
      <c r="C93" s="3">
        <v>1200</v>
      </c>
      <c r="D93" s="3">
        <v>0.3</v>
      </c>
      <c r="E93" s="3">
        <f>D93*C93</f>
        <v>360</v>
      </c>
      <c r="F93" s="3">
        <v>0.8</v>
      </c>
      <c r="G93" s="3">
        <f>E93*F93</f>
        <v>288</v>
      </c>
      <c r="H93" s="5">
        <f>G93/28.3</f>
        <v>10.176678445229681</v>
      </c>
      <c r="I93" s="3">
        <v>22</v>
      </c>
      <c r="J93" s="21">
        <f>Q93</f>
        <v>0.68424250821204857</v>
      </c>
      <c r="K93">
        <v>1</v>
      </c>
      <c r="L93">
        <v>1.41</v>
      </c>
      <c r="M93">
        <v>14.7</v>
      </c>
      <c r="N93" s="66">
        <f>P93+14.7</f>
        <v>36.700000000000003</v>
      </c>
      <c r="O93" s="27">
        <f t="shared" si="13"/>
        <v>10.176678445229681</v>
      </c>
      <c r="P93" s="26">
        <f t="shared" si="13"/>
        <v>22</v>
      </c>
      <c r="Q93" s="22">
        <f>(144*K93*M93*O93*L93/(33000*(L93-1)))*((N93/M93)^((L93-1)/(K93*L93))-1)</f>
        <v>0.68424250821204857</v>
      </c>
      <c r="R93">
        <v>0.8</v>
      </c>
      <c r="S93" s="1">
        <f>Q93*0.7457/R93</f>
        <v>0.63779954796715577</v>
      </c>
    </row>
    <row r="94" spans="3:19">
      <c r="C94" s="3">
        <v>2880</v>
      </c>
      <c r="D94" s="3">
        <v>0.5</v>
      </c>
      <c r="E94" s="3">
        <f>D94*C94</f>
        <v>1440</v>
      </c>
      <c r="F94" s="3">
        <v>0.8</v>
      </c>
      <c r="G94" s="3">
        <f>E94*F94</f>
        <v>1152</v>
      </c>
      <c r="H94" s="5">
        <f>G94/28.3</f>
        <v>40.706713780918726</v>
      </c>
      <c r="I94" s="3">
        <v>22</v>
      </c>
      <c r="J94" s="21">
        <f>Q94</f>
        <v>2.7369700328481943</v>
      </c>
      <c r="K94">
        <v>1</v>
      </c>
      <c r="L94">
        <v>1.41</v>
      </c>
      <c r="M94">
        <v>14.7</v>
      </c>
      <c r="N94" s="66">
        <f>P94+14.7</f>
        <v>36.700000000000003</v>
      </c>
      <c r="O94" s="27">
        <f t="shared" si="13"/>
        <v>40.706713780918726</v>
      </c>
      <c r="P94" s="26">
        <f t="shared" si="13"/>
        <v>22</v>
      </c>
      <c r="Q94" s="22">
        <f>(144*K94*M94*O94*L94/(33000*(L94-1)))*((N94/M94)^((L94-1)/(K94*L94))-1)</f>
        <v>2.7369700328481943</v>
      </c>
      <c r="R94">
        <v>1.8</v>
      </c>
      <c r="S94" s="1">
        <f>Q94*0.7457/R94</f>
        <v>1.1338658630527214</v>
      </c>
    </row>
    <row r="95" spans="3:19">
      <c r="C95" s="3">
        <v>3450</v>
      </c>
      <c r="D95" s="3">
        <v>0.5</v>
      </c>
      <c r="E95" s="3">
        <f>D95*C95</f>
        <v>1725</v>
      </c>
      <c r="F95" s="3">
        <v>0.8</v>
      </c>
      <c r="G95" s="3">
        <f>E95*F95</f>
        <v>1380</v>
      </c>
      <c r="H95" s="5">
        <f>G95/28.3</f>
        <v>48.763250883392224</v>
      </c>
      <c r="I95" s="3">
        <v>20</v>
      </c>
      <c r="J95" s="21">
        <f>Q95</f>
        <v>3.0518105638365451</v>
      </c>
      <c r="K95">
        <v>1</v>
      </c>
      <c r="L95">
        <v>1.41</v>
      </c>
      <c r="M95">
        <v>14.7</v>
      </c>
      <c r="N95" s="66">
        <f>P95+14.7</f>
        <v>34.700000000000003</v>
      </c>
      <c r="O95" s="27">
        <f t="shared" si="13"/>
        <v>48.763250883392224</v>
      </c>
      <c r="P95" s="26">
        <f t="shared" si="13"/>
        <v>20</v>
      </c>
      <c r="Q95" s="22">
        <f>(144*K95*M95*O95*L95/(33000*(L95-1)))*((N95/M95)^((L95-1)/(K95*L95))-1)</f>
        <v>3.0518105638365451</v>
      </c>
      <c r="R95">
        <v>1.8</v>
      </c>
      <c r="S95" s="1">
        <f>Q95*0.7457/R95</f>
        <v>1.264297298584951</v>
      </c>
    </row>
    <row r="101" spans="3:13">
      <c r="C101">
        <v>120</v>
      </c>
      <c r="K101">
        <v>120</v>
      </c>
    </row>
    <row r="102" spans="3:13">
      <c r="C102" t="s">
        <v>1130</v>
      </c>
      <c r="D102" t="s">
        <v>1076</v>
      </c>
      <c r="E102" t="s">
        <v>1135</v>
      </c>
      <c r="K102" t="s">
        <v>1132</v>
      </c>
      <c r="L102" t="s">
        <v>1131</v>
      </c>
      <c r="M102" t="s">
        <v>1135</v>
      </c>
    </row>
    <row r="103" spans="3:13">
      <c r="C103">
        <v>250</v>
      </c>
      <c r="D103">
        <v>0</v>
      </c>
      <c r="E103" s="2">
        <f>C103/60*28.3</f>
        <v>117.91666666666667</v>
      </c>
      <c r="F103" s="2">
        <f>C103/60</f>
        <v>4.166666666666667</v>
      </c>
      <c r="K103">
        <v>220</v>
      </c>
      <c r="L103">
        <v>3</v>
      </c>
      <c r="M103" s="2">
        <f t="shared" ref="M103:M108" si="14">K103/60*28.3</f>
        <v>103.76666666666667</v>
      </c>
    </row>
    <row r="104" spans="3:13">
      <c r="C104">
        <v>200</v>
      </c>
      <c r="D104">
        <v>7.5</v>
      </c>
      <c r="E104" s="2">
        <f>C104/60*28.3</f>
        <v>94.333333333333343</v>
      </c>
      <c r="F104" s="2">
        <f t="shared" ref="F104:F106" si="15">C104/60</f>
        <v>3.3333333333333335</v>
      </c>
      <c r="K104">
        <v>200</v>
      </c>
      <c r="L104">
        <v>6</v>
      </c>
      <c r="M104" s="2">
        <f t="shared" si="14"/>
        <v>94.333333333333343</v>
      </c>
    </row>
    <row r="105" spans="3:13">
      <c r="C105">
        <v>150</v>
      </c>
      <c r="D105">
        <v>15</v>
      </c>
      <c r="E105" s="2">
        <f>C105/60*28.3</f>
        <v>70.75</v>
      </c>
      <c r="F105" s="2">
        <f t="shared" si="15"/>
        <v>2.5</v>
      </c>
      <c r="K105">
        <v>150</v>
      </c>
      <c r="L105">
        <v>13</v>
      </c>
      <c r="M105" s="2">
        <f t="shared" si="14"/>
        <v>70.75</v>
      </c>
    </row>
    <row r="106" spans="3:13">
      <c r="C106">
        <v>120</v>
      </c>
      <c r="D106">
        <v>22.5</v>
      </c>
      <c r="E106" s="2">
        <f>C106/60*28.3</f>
        <v>56.6</v>
      </c>
      <c r="F106" s="2">
        <f t="shared" si="15"/>
        <v>2</v>
      </c>
      <c r="K106">
        <v>100</v>
      </c>
      <c r="L106">
        <v>19</v>
      </c>
      <c r="M106" s="2">
        <f t="shared" si="14"/>
        <v>47.166666666666671</v>
      </c>
    </row>
    <row r="107" spans="3:13">
      <c r="K107">
        <v>50</v>
      </c>
      <c r="L107">
        <v>23</v>
      </c>
      <c r="M107" s="2">
        <f t="shared" si="14"/>
        <v>23.583333333333336</v>
      </c>
    </row>
    <row r="108" spans="3:13">
      <c r="C108" t="s">
        <v>1133</v>
      </c>
      <c r="K108">
        <v>5</v>
      </c>
      <c r="L108">
        <v>26.5</v>
      </c>
      <c r="M108" s="2">
        <f t="shared" si="14"/>
        <v>2.3583333333333334</v>
      </c>
    </row>
    <row r="109" spans="3:13">
      <c r="C109" t="s">
        <v>1130</v>
      </c>
      <c r="D109" t="s">
        <v>1076</v>
      </c>
      <c r="E109" t="s">
        <v>1133</v>
      </c>
      <c r="K109" t="s">
        <v>1133</v>
      </c>
    </row>
    <row r="110" spans="3:13">
      <c r="C110">
        <v>220</v>
      </c>
      <c r="D110">
        <v>0</v>
      </c>
      <c r="E110" s="2">
        <f>C110/60*28.3</f>
        <v>103.76666666666667</v>
      </c>
      <c r="K110" t="s">
        <v>1132</v>
      </c>
      <c r="L110" t="s">
        <v>1131</v>
      </c>
      <c r="M110" t="s">
        <v>1133</v>
      </c>
    </row>
    <row r="111" spans="3:13">
      <c r="C111">
        <v>170</v>
      </c>
      <c r="D111">
        <v>7.5</v>
      </c>
      <c r="E111" s="2">
        <f>C111/60*28.3</f>
        <v>80.183333333333337</v>
      </c>
      <c r="K111">
        <v>200</v>
      </c>
      <c r="L111">
        <v>3</v>
      </c>
      <c r="M111" s="2">
        <f t="shared" ref="M111:M116" si="16">K111/60*28.3</f>
        <v>94.333333333333343</v>
      </c>
    </row>
    <row r="112" spans="3:13">
      <c r="C112">
        <v>150</v>
      </c>
      <c r="D112">
        <v>15</v>
      </c>
      <c r="E112" s="2">
        <f>C112/60*28.3</f>
        <v>70.75</v>
      </c>
      <c r="K112">
        <v>170</v>
      </c>
      <c r="L112">
        <v>6</v>
      </c>
      <c r="M112" s="2">
        <f t="shared" si="16"/>
        <v>80.183333333333337</v>
      </c>
    </row>
    <row r="113" spans="3:13">
      <c r="C113">
        <v>120</v>
      </c>
      <c r="D113">
        <v>22.5</v>
      </c>
      <c r="E113" s="2">
        <f>C113/60*28.3</f>
        <v>56.6</v>
      </c>
      <c r="K113">
        <v>150</v>
      </c>
      <c r="L113">
        <v>9</v>
      </c>
      <c r="M113" s="2">
        <f t="shared" si="16"/>
        <v>70.75</v>
      </c>
    </row>
    <row r="114" spans="3:13">
      <c r="C114" t="s">
        <v>1134</v>
      </c>
      <c r="K114">
        <v>100</v>
      </c>
      <c r="L114">
        <v>14</v>
      </c>
      <c r="M114" s="2">
        <f t="shared" si="16"/>
        <v>47.166666666666671</v>
      </c>
    </row>
    <row r="115" spans="3:13">
      <c r="C115" t="s">
        <v>1130</v>
      </c>
      <c r="D115" t="s">
        <v>1076</v>
      </c>
      <c r="E115" t="s">
        <v>1136</v>
      </c>
      <c r="K115">
        <v>50</v>
      </c>
      <c r="L115">
        <v>19</v>
      </c>
      <c r="M115" s="2">
        <f t="shared" si="16"/>
        <v>23.583333333333336</v>
      </c>
    </row>
    <row r="116" spans="3:13">
      <c r="C116">
        <v>430</v>
      </c>
      <c r="D116">
        <v>0</v>
      </c>
      <c r="E116" s="2">
        <f>C116/60*28.3</f>
        <v>202.81666666666669</v>
      </c>
      <c r="F116" s="2">
        <f>C116/60</f>
        <v>7.166666666666667</v>
      </c>
      <c r="K116">
        <v>5</v>
      </c>
      <c r="L116">
        <v>25</v>
      </c>
      <c r="M116" s="2">
        <f t="shared" si="16"/>
        <v>2.3583333333333334</v>
      </c>
    </row>
    <row r="117" spans="3:13">
      <c r="C117">
        <v>390</v>
      </c>
      <c r="D117">
        <v>7.5</v>
      </c>
      <c r="E117" s="2">
        <f>C117/60*28.3</f>
        <v>183.95000000000002</v>
      </c>
      <c r="F117" s="2">
        <f t="shared" ref="F117:F119" si="17">C117/60</f>
        <v>6.5</v>
      </c>
    </row>
    <row r="118" spans="3:13">
      <c r="C118">
        <v>340</v>
      </c>
      <c r="D118">
        <v>15</v>
      </c>
      <c r="E118" s="2">
        <f>C118/60*28.3</f>
        <v>160.36666666666667</v>
      </c>
      <c r="F118" s="2">
        <f t="shared" si="17"/>
        <v>5.666666666666667</v>
      </c>
      <c r="K118" t="s">
        <v>1136</v>
      </c>
    </row>
    <row r="119" spans="3:13">
      <c r="C119">
        <v>310</v>
      </c>
      <c r="D119">
        <v>22.5</v>
      </c>
      <c r="E119" s="2">
        <f>C119/60*28.3</f>
        <v>146.21666666666667</v>
      </c>
      <c r="F119" s="2">
        <f t="shared" si="17"/>
        <v>5.166666666666667</v>
      </c>
      <c r="K119" t="s">
        <v>1132</v>
      </c>
      <c r="L119" t="s">
        <v>1131</v>
      </c>
      <c r="M119" t="s">
        <v>1136</v>
      </c>
    </row>
    <row r="120" spans="3:13">
      <c r="K120">
        <v>340</v>
      </c>
      <c r="L120">
        <v>7</v>
      </c>
      <c r="M120" s="2">
        <f>K120/60*28.3</f>
        <v>160.36666666666667</v>
      </c>
    </row>
    <row r="121" spans="3:13">
      <c r="K121">
        <v>300</v>
      </c>
      <c r="L121">
        <v>9</v>
      </c>
      <c r="M121" s="2">
        <f t="shared" ref="M121:M124" si="18">K121/60*28.3</f>
        <v>141.5</v>
      </c>
    </row>
    <row r="122" spans="3:13">
      <c r="K122">
        <v>250</v>
      </c>
      <c r="L122">
        <v>13</v>
      </c>
      <c r="M122" s="2">
        <f t="shared" si="18"/>
        <v>117.91666666666667</v>
      </c>
    </row>
    <row r="123" spans="3:13">
      <c r="K123">
        <v>200</v>
      </c>
      <c r="L123">
        <v>17</v>
      </c>
      <c r="M123" s="2">
        <f t="shared" si="18"/>
        <v>94.333333333333343</v>
      </c>
    </row>
    <row r="124" spans="3:13">
      <c r="K124">
        <v>150</v>
      </c>
      <c r="L124">
        <v>20</v>
      </c>
      <c r="M124" s="2">
        <f t="shared" si="18"/>
        <v>70.75</v>
      </c>
    </row>
    <row r="125" spans="3:13">
      <c r="K125">
        <v>100</v>
      </c>
      <c r="L125">
        <v>22</v>
      </c>
      <c r="M125" s="2">
        <f>K125/60*28.3</f>
        <v>47.166666666666671</v>
      </c>
    </row>
    <row r="126" spans="3:13">
      <c r="K126">
        <v>50</v>
      </c>
      <c r="L126">
        <v>24</v>
      </c>
      <c r="M126" s="2">
        <f>K126/60*28.3</f>
        <v>23.583333333333336</v>
      </c>
    </row>
    <row r="127" spans="3:13">
      <c r="K127">
        <v>5</v>
      </c>
      <c r="L127">
        <v>25.5</v>
      </c>
      <c r="M127" s="2">
        <f>K127/60*28.3</f>
        <v>2.3583333333333334</v>
      </c>
    </row>
    <row r="146" spans="3:13">
      <c r="C146" t="s">
        <v>516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</row>
    <row r="147" spans="3:13">
      <c r="C147" t="s">
        <v>709</v>
      </c>
      <c r="D147">
        <v>1.41</v>
      </c>
      <c r="E147">
        <v>1.41</v>
      </c>
      <c r="F147">
        <v>1.41</v>
      </c>
      <c r="G147">
        <v>1.41</v>
      </c>
      <c r="H147">
        <v>1.41</v>
      </c>
      <c r="I147">
        <v>1.41</v>
      </c>
      <c r="J147">
        <v>1.41</v>
      </c>
      <c r="K147">
        <v>1.41</v>
      </c>
      <c r="L147">
        <v>1.41</v>
      </c>
      <c r="M147">
        <v>1.41</v>
      </c>
    </row>
    <row r="148" spans="3:13">
      <c r="C148" t="s">
        <v>710</v>
      </c>
      <c r="D148">
        <v>14.7</v>
      </c>
      <c r="E148">
        <v>14.7</v>
      </c>
      <c r="F148">
        <v>14.7</v>
      </c>
      <c r="G148">
        <v>14.7</v>
      </c>
      <c r="H148">
        <v>14.7</v>
      </c>
      <c r="I148">
        <v>14.7</v>
      </c>
      <c r="J148">
        <v>14.7</v>
      </c>
      <c r="K148">
        <v>14.7</v>
      </c>
      <c r="L148">
        <v>14.7</v>
      </c>
      <c r="M148">
        <v>14.7</v>
      </c>
    </row>
    <row r="149" spans="3:13">
      <c r="C149" t="s">
        <v>711</v>
      </c>
      <c r="D149" s="66">
        <f t="shared" ref="D149:M149" si="19">D152+14.7</f>
        <v>22.2</v>
      </c>
      <c r="E149" s="66">
        <f t="shared" si="19"/>
        <v>29.7</v>
      </c>
      <c r="F149" s="66">
        <f t="shared" si="19"/>
        <v>37.200000000000003</v>
      </c>
      <c r="G149" s="66">
        <f t="shared" si="19"/>
        <v>44.7</v>
      </c>
      <c r="H149" s="66">
        <f t="shared" si="19"/>
        <v>52.2</v>
      </c>
      <c r="I149" s="66">
        <f t="shared" si="19"/>
        <v>59.7</v>
      </c>
      <c r="J149" s="66">
        <f t="shared" si="19"/>
        <v>67.2</v>
      </c>
      <c r="K149" s="66">
        <f t="shared" si="19"/>
        <v>74.7</v>
      </c>
      <c r="L149" s="66">
        <f t="shared" si="19"/>
        <v>82.2</v>
      </c>
      <c r="M149" s="66">
        <f t="shared" si="19"/>
        <v>89.7</v>
      </c>
    </row>
    <row r="151" spans="3:13">
      <c r="C151" t="s">
        <v>713</v>
      </c>
      <c r="D151" s="26">
        <v>12</v>
      </c>
      <c r="E151" s="26">
        <v>12</v>
      </c>
      <c r="F151" s="26">
        <v>12</v>
      </c>
      <c r="G151" s="26">
        <v>12</v>
      </c>
      <c r="H151" s="26">
        <v>12</v>
      </c>
      <c r="I151" s="26">
        <v>12</v>
      </c>
      <c r="J151" s="26">
        <v>12</v>
      </c>
      <c r="K151" s="26">
        <v>12</v>
      </c>
      <c r="L151" s="26">
        <v>12</v>
      </c>
      <c r="M151" s="26">
        <v>12</v>
      </c>
    </row>
    <row r="152" spans="3:13">
      <c r="C152" t="s">
        <v>712</v>
      </c>
      <c r="D152" s="26">
        <v>7.5</v>
      </c>
      <c r="E152" s="26">
        <v>15</v>
      </c>
      <c r="F152" s="26">
        <v>22.5</v>
      </c>
      <c r="G152" s="26">
        <v>30</v>
      </c>
      <c r="H152" s="26">
        <v>37.5</v>
      </c>
      <c r="I152" s="26">
        <v>45</v>
      </c>
      <c r="J152" s="26">
        <v>52.5</v>
      </c>
      <c r="K152" s="26">
        <v>60</v>
      </c>
      <c r="L152" s="26">
        <v>67.5</v>
      </c>
      <c r="M152" s="26">
        <v>75</v>
      </c>
    </row>
    <row r="154" spans="3:13">
      <c r="C154" t="s">
        <v>718</v>
      </c>
      <c r="D154" s="22">
        <f t="shared" ref="D154:M154" si="20">(144*D146*D148*D151*D147/(33000*(D147-1)))*((D149/D148)^((D147-1)/(D146*D147))-1)</f>
        <v>0.33712604913023125</v>
      </c>
      <c r="E154" s="22">
        <f t="shared" si="20"/>
        <v>0.60069197283935516</v>
      </c>
      <c r="F154" s="22">
        <f t="shared" si="20"/>
        <v>0.8204537014606913</v>
      </c>
      <c r="G154" s="22">
        <f t="shared" si="20"/>
        <v>1.0106804174360096</v>
      </c>
      <c r="H154" s="22">
        <f t="shared" si="20"/>
        <v>1.1794362478117517</v>
      </c>
      <c r="I154" s="22">
        <f t="shared" si="20"/>
        <v>1.3317699643704257</v>
      </c>
      <c r="J154" s="22">
        <f t="shared" si="20"/>
        <v>1.4710735550143823</v>
      </c>
      <c r="K154" s="22">
        <f t="shared" si="20"/>
        <v>1.5997469879855344</v>
      </c>
      <c r="L154" s="22">
        <f t="shared" si="20"/>
        <v>1.7195570868807852</v>
      </c>
      <c r="M154" s="22">
        <f t="shared" si="20"/>
        <v>1.8318460987425669</v>
      </c>
    </row>
    <row r="155" spans="3:13">
      <c r="C155" t="s">
        <v>717</v>
      </c>
      <c r="D155">
        <v>0.8</v>
      </c>
      <c r="E155">
        <v>0.8</v>
      </c>
      <c r="F155">
        <v>0.8</v>
      </c>
      <c r="G155">
        <v>0.8</v>
      </c>
      <c r="H155">
        <v>0.8</v>
      </c>
      <c r="I155">
        <v>0.8</v>
      </c>
      <c r="J155">
        <v>0.8</v>
      </c>
      <c r="K155">
        <v>0.8</v>
      </c>
      <c r="L155">
        <v>0.8</v>
      </c>
      <c r="M155">
        <v>0.8</v>
      </c>
    </row>
    <row r="156" spans="3:13">
      <c r="C156" t="s">
        <v>716</v>
      </c>
      <c r="D156" s="1">
        <f t="shared" ref="D156:M156" si="21">D154*0.7457/D155</f>
        <v>0.3142436185455168</v>
      </c>
      <c r="E156" s="1">
        <f t="shared" si="21"/>
        <v>0.55992000518288398</v>
      </c>
      <c r="F156" s="1">
        <f t="shared" si="21"/>
        <v>0.76476540647404689</v>
      </c>
      <c r="G156" s="1">
        <f t="shared" si="21"/>
        <v>0.94208048410254042</v>
      </c>
      <c r="H156" s="1">
        <f t="shared" si="21"/>
        <v>1.099382012491529</v>
      </c>
      <c r="I156" s="1">
        <f t="shared" si="21"/>
        <v>1.241376078038783</v>
      </c>
      <c r="J156" s="1">
        <f t="shared" si="21"/>
        <v>1.3712244374677811</v>
      </c>
      <c r="K156" s="1">
        <f t="shared" si="21"/>
        <v>1.4911641611760162</v>
      </c>
      <c r="L156" s="1">
        <f t="shared" si="21"/>
        <v>1.6028421496087519</v>
      </c>
      <c r="M156" s="1">
        <f t="shared" si="21"/>
        <v>1.7075095447904149</v>
      </c>
    </row>
    <row r="157" spans="3:13">
      <c r="D157" s="26"/>
      <c r="E157" s="26"/>
      <c r="F157" s="26"/>
      <c r="G157" s="26"/>
      <c r="H157" s="26"/>
      <c r="I157" s="26"/>
      <c r="J157" s="26"/>
      <c r="K157" s="26"/>
      <c r="L157" s="26"/>
      <c r="M157" s="26"/>
    </row>
    <row r="158" spans="3:13">
      <c r="D158" s="26"/>
      <c r="E158" s="26"/>
      <c r="F158" s="26"/>
      <c r="G158" s="26"/>
      <c r="H158" s="26"/>
      <c r="I158" s="26"/>
      <c r="J158" s="26"/>
      <c r="K158" s="26"/>
      <c r="L158" s="26"/>
      <c r="M158" s="26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0"/>
  <sheetViews>
    <sheetView workbookViewId="0">
      <selection activeCell="F10" sqref="F10"/>
    </sheetView>
  </sheetViews>
  <sheetFormatPr baseColWidth="10" defaultRowHeight="16"/>
  <cols>
    <col min="1" max="1" width="17.6640625" customWidth="1"/>
    <col min="2" max="2" width="4" customWidth="1"/>
    <col min="3" max="3" width="38" customWidth="1"/>
    <col min="4" max="4" width="19.5" customWidth="1"/>
    <col min="5" max="5" width="17.33203125" customWidth="1"/>
    <col min="6" max="6" width="19.33203125" customWidth="1"/>
    <col min="7" max="7" width="12.5" customWidth="1"/>
  </cols>
  <sheetData>
    <row r="1" spans="1:7">
      <c r="C1" t="s">
        <v>365</v>
      </c>
      <c r="D1" t="s">
        <v>693</v>
      </c>
      <c r="E1" t="s">
        <v>371</v>
      </c>
      <c r="F1" t="s">
        <v>692</v>
      </c>
      <c r="G1" t="s">
        <v>694</v>
      </c>
    </row>
    <row r="3" spans="1:7">
      <c r="A3" t="s">
        <v>69</v>
      </c>
      <c r="C3" t="s">
        <v>366</v>
      </c>
      <c r="D3" t="s">
        <v>370</v>
      </c>
    </row>
    <row r="4" spans="1:7">
      <c r="C4" t="s">
        <v>35</v>
      </c>
      <c r="D4" t="s">
        <v>766</v>
      </c>
      <c r="F4" t="s">
        <v>767</v>
      </c>
    </row>
    <row r="5" spans="1:7">
      <c r="B5">
        <v>4</v>
      </c>
      <c r="C5" t="s">
        <v>369</v>
      </c>
      <c r="F5" t="s">
        <v>768</v>
      </c>
    </row>
    <row r="6" spans="1:7">
      <c r="B6">
        <v>4</v>
      </c>
      <c r="C6" t="s">
        <v>367</v>
      </c>
      <c r="F6" t="s">
        <v>769</v>
      </c>
    </row>
    <row r="7" spans="1:7">
      <c r="B7">
        <v>2</v>
      </c>
      <c r="C7" t="s">
        <v>368</v>
      </c>
      <c r="F7" t="s">
        <v>770</v>
      </c>
    </row>
    <row r="8" spans="1:7">
      <c r="B8">
        <v>4</v>
      </c>
      <c r="C8" t="s">
        <v>80</v>
      </c>
    </row>
    <row r="9" spans="1:7">
      <c r="B9">
        <v>4</v>
      </c>
      <c r="C9" t="s">
        <v>79</v>
      </c>
    </row>
    <row r="10" spans="1:7">
      <c r="B10">
        <v>16</v>
      </c>
      <c r="C10" t="s">
        <v>90</v>
      </c>
    </row>
    <row r="11" spans="1:7">
      <c r="B11">
        <v>32</v>
      </c>
      <c r="C11" t="s">
        <v>91</v>
      </c>
    </row>
    <row r="13" spans="1:7">
      <c r="A13" t="s">
        <v>36</v>
      </c>
      <c r="C13" t="s">
        <v>36</v>
      </c>
    </row>
    <row r="14" spans="1:7">
      <c r="C14" t="s">
        <v>37</v>
      </c>
      <c r="D14" t="s">
        <v>363</v>
      </c>
      <c r="G14" t="s">
        <v>364</v>
      </c>
    </row>
    <row r="15" spans="1:7">
      <c r="C15" t="s">
        <v>38</v>
      </c>
    </row>
    <row r="16" spans="1:7">
      <c r="C16" t="s">
        <v>39</v>
      </c>
    </row>
    <row r="17" spans="1:3">
      <c r="C17" t="s">
        <v>40</v>
      </c>
    </row>
    <row r="18" spans="1:3">
      <c r="C18" t="s">
        <v>41</v>
      </c>
    </row>
    <row r="19" spans="1:3">
      <c r="C19" t="s">
        <v>42</v>
      </c>
    </row>
    <row r="20" spans="1:3">
      <c r="C20" t="s">
        <v>39</v>
      </c>
    </row>
    <row r="21" spans="1:3">
      <c r="B21">
        <v>4</v>
      </c>
      <c r="C21" t="s">
        <v>65</v>
      </c>
    </row>
    <row r="22" spans="1:3">
      <c r="C22" t="s">
        <v>72</v>
      </c>
    </row>
    <row r="23" spans="1:3">
      <c r="B23">
        <v>2</v>
      </c>
      <c r="C23" t="s">
        <v>73</v>
      </c>
    </row>
    <row r="24" spans="1:3">
      <c r="B24">
        <v>4</v>
      </c>
      <c r="C24" t="s">
        <v>88</v>
      </c>
    </row>
    <row r="25" spans="1:3">
      <c r="B25">
        <v>4</v>
      </c>
      <c r="C25" t="s">
        <v>89</v>
      </c>
    </row>
    <row r="27" spans="1:3">
      <c r="A27" t="s">
        <v>66</v>
      </c>
      <c r="C27" t="s">
        <v>43</v>
      </c>
    </row>
    <row r="28" spans="1:3">
      <c r="C28" t="s">
        <v>46</v>
      </c>
    </row>
    <row r="29" spans="1:3">
      <c r="C29" t="s">
        <v>44</v>
      </c>
    </row>
    <row r="30" spans="1:3">
      <c r="C30" t="s">
        <v>47</v>
      </c>
    </row>
    <row r="31" spans="1:3">
      <c r="B31">
        <v>2</v>
      </c>
      <c r="C31" t="s">
        <v>45</v>
      </c>
    </row>
    <row r="32" spans="1:3">
      <c r="C32" t="s">
        <v>48</v>
      </c>
    </row>
    <row r="33" spans="1:3">
      <c r="C33" t="s">
        <v>49</v>
      </c>
    </row>
    <row r="34" spans="1:3">
      <c r="C34" t="s">
        <v>81</v>
      </c>
    </row>
    <row r="35" spans="1:3">
      <c r="B35">
        <v>4</v>
      </c>
      <c r="C35" t="s">
        <v>87</v>
      </c>
    </row>
    <row r="37" spans="1:3">
      <c r="A37" t="s">
        <v>67</v>
      </c>
      <c r="C37" t="s">
        <v>50</v>
      </c>
    </row>
    <row r="38" spans="1:3">
      <c r="C38" t="s">
        <v>51</v>
      </c>
    </row>
    <row r="39" spans="1:3">
      <c r="C39" t="s">
        <v>52</v>
      </c>
    </row>
    <row r="40" spans="1:3">
      <c r="C40" t="s">
        <v>53</v>
      </c>
    </row>
    <row r="41" spans="1:3">
      <c r="C41" t="s">
        <v>54</v>
      </c>
    </row>
    <row r="42" spans="1:3">
      <c r="C42" t="s">
        <v>55</v>
      </c>
    </row>
    <row r="43" spans="1:3">
      <c r="C43" t="s">
        <v>56</v>
      </c>
    </row>
    <row r="44" spans="1:3">
      <c r="C44" t="s">
        <v>57</v>
      </c>
    </row>
    <row r="45" spans="1:3">
      <c r="C45" t="s">
        <v>58</v>
      </c>
    </row>
    <row r="46" spans="1:3">
      <c r="B46">
        <v>6</v>
      </c>
      <c r="C46" t="s">
        <v>86</v>
      </c>
    </row>
    <row r="49" spans="1:3">
      <c r="A49" t="s">
        <v>68</v>
      </c>
      <c r="B49">
        <v>2</v>
      </c>
      <c r="C49" t="s">
        <v>59</v>
      </c>
    </row>
    <row r="50" spans="1:3">
      <c r="C50" t="s">
        <v>60</v>
      </c>
    </row>
    <row r="51" spans="1:3">
      <c r="C51" t="s">
        <v>61</v>
      </c>
    </row>
    <row r="52" spans="1:3">
      <c r="C52" t="s">
        <v>62</v>
      </c>
    </row>
    <row r="53" spans="1:3">
      <c r="C53" t="s">
        <v>63</v>
      </c>
    </row>
    <row r="54" spans="1:3">
      <c r="C54" t="s">
        <v>64</v>
      </c>
    </row>
    <row r="55" spans="1:3">
      <c r="C55" t="s">
        <v>70</v>
      </c>
    </row>
    <row r="56" spans="1:3">
      <c r="B56">
        <v>2</v>
      </c>
      <c r="C56" t="s">
        <v>71</v>
      </c>
    </row>
    <row r="57" spans="1:3">
      <c r="C57" t="s">
        <v>167</v>
      </c>
    </row>
    <row r="58" spans="1:3">
      <c r="C58" t="s">
        <v>168</v>
      </c>
    </row>
    <row r="59" spans="1:3">
      <c r="C59" t="s">
        <v>169</v>
      </c>
    </row>
    <row r="60" spans="1:3">
      <c r="C60" t="s">
        <v>170</v>
      </c>
    </row>
    <row r="61" spans="1:3">
      <c r="C61" t="s">
        <v>171</v>
      </c>
    </row>
    <row r="62" spans="1:3">
      <c r="C62" t="s">
        <v>172</v>
      </c>
    </row>
    <row r="64" spans="1:3">
      <c r="A64" t="s">
        <v>74</v>
      </c>
      <c r="C64" t="s">
        <v>75</v>
      </c>
    </row>
    <row r="65" spans="1:3">
      <c r="C65" t="s">
        <v>76</v>
      </c>
    </row>
    <row r="66" spans="1:3">
      <c r="C66" t="s">
        <v>77</v>
      </c>
    </row>
    <row r="67" spans="1:3">
      <c r="C67" t="s">
        <v>78</v>
      </c>
    </row>
    <row r="68" spans="1:3">
      <c r="C68" t="s">
        <v>82</v>
      </c>
    </row>
    <row r="69" spans="1:3">
      <c r="C69" t="s">
        <v>83</v>
      </c>
    </row>
    <row r="70" spans="1:3">
      <c r="B70">
        <v>4</v>
      </c>
      <c r="C70" t="s">
        <v>84</v>
      </c>
    </row>
    <row r="71" spans="1:3">
      <c r="B71">
        <v>4</v>
      </c>
      <c r="C71" t="s">
        <v>85</v>
      </c>
    </row>
    <row r="72" spans="1:3">
      <c r="C72" t="s">
        <v>173</v>
      </c>
    </row>
    <row r="73" spans="1:3">
      <c r="C73" t="s">
        <v>92</v>
      </c>
    </row>
    <row r="74" spans="1:3">
      <c r="C74" t="s">
        <v>93</v>
      </c>
    </row>
    <row r="75" spans="1:3">
      <c r="C75" t="s">
        <v>95</v>
      </c>
    </row>
    <row r="78" spans="1:3">
      <c r="A78" t="s">
        <v>94</v>
      </c>
      <c r="C78" t="s">
        <v>96</v>
      </c>
    </row>
    <row r="79" spans="1:3">
      <c r="C79" t="s">
        <v>96</v>
      </c>
    </row>
    <row r="80" spans="1:3">
      <c r="C80" t="s">
        <v>97</v>
      </c>
    </row>
    <row r="81" spans="1:3">
      <c r="C81" t="s">
        <v>98</v>
      </c>
    </row>
    <row r="82" spans="1:3">
      <c r="C82" t="s">
        <v>100</v>
      </c>
    </row>
    <row r="83" spans="1:3">
      <c r="C83" t="s">
        <v>99</v>
      </c>
    </row>
    <row r="84" spans="1:3">
      <c r="C84" t="s">
        <v>101</v>
      </c>
    </row>
    <row r="87" spans="1:3">
      <c r="A87" t="s">
        <v>102</v>
      </c>
      <c r="B87">
        <v>4</v>
      </c>
      <c r="C87" t="s">
        <v>103</v>
      </c>
    </row>
    <row r="88" spans="1:3">
      <c r="B88">
        <v>4</v>
      </c>
      <c r="C88" t="s">
        <v>129</v>
      </c>
    </row>
    <row r="89" spans="1:3">
      <c r="B89">
        <v>6</v>
      </c>
      <c r="C89" t="s">
        <v>128</v>
      </c>
    </row>
    <row r="90" spans="1:3">
      <c r="B90">
        <v>2</v>
      </c>
      <c r="C90" t="s">
        <v>104</v>
      </c>
    </row>
    <row r="91" spans="1:3">
      <c r="B91">
        <v>1</v>
      </c>
      <c r="C91" t="s">
        <v>105</v>
      </c>
    </row>
    <row r="92" spans="1:3">
      <c r="B92">
        <v>2</v>
      </c>
      <c r="C92" t="s">
        <v>106</v>
      </c>
    </row>
    <row r="93" spans="1:3">
      <c r="B93">
        <v>6</v>
      </c>
      <c r="C93" t="s">
        <v>107</v>
      </c>
    </row>
    <row r="94" spans="1:3">
      <c r="B94">
        <v>8</v>
      </c>
      <c r="C94" t="s">
        <v>108</v>
      </c>
    </row>
    <row r="97" spans="1:3">
      <c r="A97" t="s">
        <v>109</v>
      </c>
      <c r="B97">
        <v>2</v>
      </c>
      <c r="C97" t="s">
        <v>110</v>
      </c>
    </row>
    <row r="98" spans="1:3">
      <c r="B98">
        <v>4</v>
      </c>
      <c r="C98" t="s">
        <v>111</v>
      </c>
    </row>
    <row r="99" spans="1:3">
      <c r="B99">
        <v>2</v>
      </c>
      <c r="C99" t="s">
        <v>112</v>
      </c>
    </row>
    <row r="100" spans="1:3">
      <c r="B100">
        <v>4</v>
      </c>
      <c r="C100" t="s">
        <v>113</v>
      </c>
    </row>
    <row r="101" spans="1:3">
      <c r="B101">
        <v>8</v>
      </c>
      <c r="C101" t="s">
        <v>114</v>
      </c>
    </row>
    <row r="102" spans="1:3">
      <c r="B102">
        <v>2</v>
      </c>
      <c r="C102" t="s">
        <v>115</v>
      </c>
    </row>
    <row r="103" spans="1:3">
      <c r="B103">
        <v>2</v>
      </c>
      <c r="C103" t="s">
        <v>116</v>
      </c>
    </row>
    <row r="104" spans="1:3">
      <c r="B104">
        <v>2</v>
      </c>
      <c r="C104" t="s">
        <v>117</v>
      </c>
    </row>
    <row r="105" spans="1:3">
      <c r="B105">
        <v>2</v>
      </c>
      <c r="C105" t="s">
        <v>118</v>
      </c>
    </row>
    <row r="106" spans="1:3">
      <c r="B106">
        <v>5</v>
      </c>
      <c r="C106" t="s">
        <v>194</v>
      </c>
    </row>
    <row r="107" spans="1:3">
      <c r="B107">
        <v>1</v>
      </c>
      <c r="C107" t="s">
        <v>195</v>
      </c>
    </row>
    <row r="110" spans="1:3">
      <c r="A110" t="s">
        <v>192</v>
      </c>
      <c r="B110">
        <v>2</v>
      </c>
      <c r="C110" t="s">
        <v>119</v>
      </c>
    </row>
    <row r="111" spans="1:3">
      <c r="B111">
        <v>2</v>
      </c>
      <c r="C111" t="s">
        <v>120</v>
      </c>
    </row>
    <row r="112" spans="1:3">
      <c r="B112">
        <v>2</v>
      </c>
      <c r="C112" t="s">
        <v>123</v>
      </c>
    </row>
    <row r="113" spans="1:3">
      <c r="B113">
        <v>2</v>
      </c>
      <c r="C113" t="s">
        <v>121</v>
      </c>
    </row>
    <row r="114" spans="1:3">
      <c r="B114">
        <v>2</v>
      </c>
      <c r="C114" t="s">
        <v>124</v>
      </c>
    </row>
    <row r="115" spans="1:3">
      <c r="C115" t="s">
        <v>125</v>
      </c>
    </row>
    <row r="116" spans="1:3">
      <c r="C116" t="s">
        <v>126</v>
      </c>
    </row>
    <row r="117" spans="1:3">
      <c r="C117" t="s">
        <v>127</v>
      </c>
    </row>
    <row r="118" spans="1:3">
      <c r="C118" t="s">
        <v>193</v>
      </c>
    </row>
    <row r="119" spans="1:3">
      <c r="C119" t="s">
        <v>138</v>
      </c>
    </row>
    <row r="120" spans="1:3">
      <c r="B120">
        <v>2</v>
      </c>
      <c r="C120" t="s">
        <v>226</v>
      </c>
    </row>
    <row r="122" spans="1:3">
      <c r="A122" t="s">
        <v>146</v>
      </c>
      <c r="B122">
        <v>2</v>
      </c>
      <c r="C122" t="s">
        <v>122</v>
      </c>
    </row>
    <row r="123" spans="1:3">
      <c r="C123" t="s">
        <v>134</v>
      </c>
    </row>
    <row r="124" spans="1:3">
      <c r="C124" t="s">
        <v>130</v>
      </c>
    </row>
    <row r="125" spans="1:3">
      <c r="C125" t="s">
        <v>131</v>
      </c>
    </row>
    <row r="126" spans="1:3">
      <c r="C126" t="s">
        <v>135</v>
      </c>
    </row>
    <row r="127" spans="1:3">
      <c r="C127" t="s">
        <v>132</v>
      </c>
    </row>
    <row r="128" spans="1:3">
      <c r="C128" t="s">
        <v>137</v>
      </c>
    </row>
    <row r="129" spans="1:3">
      <c r="C129" t="s">
        <v>133</v>
      </c>
    </row>
    <row r="132" spans="1:3">
      <c r="A132" t="s">
        <v>145</v>
      </c>
      <c r="C132" t="s">
        <v>139</v>
      </c>
    </row>
    <row r="133" spans="1:3">
      <c r="C133" t="s">
        <v>136</v>
      </c>
    </row>
    <row r="134" spans="1:3">
      <c r="C134" t="s">
        <v>140</v>
      </c>
    </row>
    <row r="135" spans="1:3">
      <c r="C135" t="s">
        <v>141</v>
      </c>
    </row>
    <row r="136" spans="1:3">
      <c r="C136" t="s">
        <v>142</v>
      </c>
    </row>
    <row r="137" spans="1:3">
      <c r="C137" t="s">
        <v>143</v>
      </c>
    </row>
    <row r="138" spans="1:3">
      <c r="C138" t="s">
        <v>144</v>
      </c>
    </row>
    <row r="139" spans="1:3">
      <c r="C139" t="s">
        <v>147</v>
      </c>
    </row>
    <row r="140" spans="1:3">
      <c r="C140" t="s">
        <v>148</v>
      </c>
    </row>
    <row r="141" spans="1:3">
      <c r="C141" t="s">
        <v>149</v>
      </c>
    </row>
    <row r="142" spans="1:3">
      <c r="C142" t="s">
        <v>150</v>
      </c>
    </row>
    <row r="145" spans="1:3">
      <c r="A145" t="s">
        <v>151</v>
      </c>
      <c r="C145" t="s">
        <v>152</v>
      </c>
    </row>
    <row r="146" spans="1:3">
      <c r="C146" t="s">
        <v>153</v>
      </c>
    </row>
    <row r="147" spans="1:3">
      <c r="C147" t="s">
        <v>158</v>
      </c>
    </row>
    <row r="148" spans="1:3">
      <c r="C148" t="s">
        <v>157</v>
      </c>
    </row>
    <row r="149" spans="1:3">
      <c r="C149" t="s">
        <v>154</v>
      </c>
    </row>
    <row r="150" spans="1:3">
      <c r="C150" t="s">
        <v>155</v>
      </c>
    </row>
    <row r="151" spans="1:3">
      <c r="C151" t="s">
        <v>156</v>
      </c>
    </row>
    <row r="152" spans="1:3">
      <c r="C152" t="s">
        <v>160</v>
      </c>
    </row>
    <row r="153" spans="1:3">
      <c r="C153" t="s">
        <v>159</v>
      </c>
    </row>
    <row r="154" spans="1:3">
      <c r="C154" t="s">
        <v>162</v>
      </c>
    </row>
    <row r="155" spans="1:3">
      <c r="C155" t="s">
        <v>161</v>
      </c>
    </row>
    <row r="156" spans="1:3">
      <c r="C156" t="s">
        <v>163</v>
      </c>
    </row>
    <row r="157" spans="1:3">
      <c r="C157" t="s">
        <v>164</v>
      </c>
    </row>
    <row r="158" spans="1:3">
      <c r="C158" t="s">
        <v>165</v>
      </c>
    </row>
    <row r="159" spans="1:3">
      <c r="C159" t="s">
        <v>166</v>
      </c>
    </row>
    <row r="161" spans="1:3">
      <c r="A161" t="s">
        <v>208</v>
      </c>
      <c r="C161" t="s">
        <v>209</v>
      </c>
    </row>
    <row r="162" spans="1:3">
      <c r="C162" t="s">
        <v>210</v>
      </c>
    </row>
    <row r="163" spans="1:3">
      <c r="C163" t="s">
        <v>211</v>
      </c>
    </row>
    <row r="164" spans="1:3">
      <c r="C164" t="s">
        <v>212</v>
      </c>
    </row>
    <row r="166" spans="1:3">
      <c r="A166" t="s">
        <v>174</v>
      </c>
      <c r="C166" t="s">
        <v>175</v>
      </c>
    </row>
    <row r="167" spans="1:3">
      <c r="C167" t="s">
        <v>176</v>
      </c>
    </row>
    <row r="168" spans="1:3">
      <c r="C168" t="s">
        <v>177</v>
      </c>
    </row>
    <row r="169" spans="1:3">
      <c r="C169" t="s">
        <v>178</v>
      </c>
    </row>
    <row r="170" spans="1:3">
      <c r="C170" t="s">
        <v>179</v>
      </c>
    </row>
    <row r="171" spans="1:3">
      <c r="C171" t="s">
        <v>181</v>
      </c>
    </row>
    <row r="172" spans="1:3">
      <c r="C172" t="s">
        <v>182</v>
      </c>
    </row>
    <row r="173" spans="1:3">
      <c r="C173" t="s">
        <v>188</v>
      </c>
    </row>
    <row r="174" spans="1:3">
      <c r="C174" t="s">
        <v>180</v>
      </c>
    </row>
    <row r="175" spans="1:3">
      <c r="C175" t="s">
        <v>183</v>
      </c>
    </row>
    <row r="176" spans="1:3">
      <c r="B176">
        <v>6</v>
      </c>
      <c r="C176" t="s">
        <v>186</v>
      </c>
    </row>
    <row r="177" spans="1:3">
      <c r="C177" t="s">
        <v>185</v>
      </c>
    </row>
    <row r="178" spans="1:3">
      <c r="C178" t="s">
        <v>184</v>
      </c>
    </row>
    <row r="179" spans="1:3">
      <c r="C179" t="s">
        <v>187</v>
      </c>
    </row>
    <row r="182" spans="1:3">
      <c r="C182" t="s">
        <v>189</v>
      </c>
    </row>
    <row r="183" spans="1:3">
      <c r="C183" t="s">
        <v>190</v>
      </c>
    </row>
    <row r="184" spans="1:3">
      <c r="C184" t="s">
        <v>191</v>
      </c>
    </row>
    <row r="185" spans="1:3">
      <c r="C185" t="s">
        <v>198</v>
      </c>
    </row>
    <row r="186" spans="1:3">
      <c r="C186" t="s">
        <v>197</v>
      </c>
    </row>
    <row r="187" spans="1:3">
      <c r="C187" t="s">
        <v>199</v>
      </c>
    </row>
    <row r="188" spans="1:3">
      <c r="C188" t="s">
        <v>224</v>
      </c>
    </row>
    <row r="190" spans="1:3">
      <c r="A190" t="s">
        <v>225</v>
      </c>
      <c r="C190" t="s">
        <v>196</v>
      </c>
    </row>
    <row r="191" spans="1:3">
      <c r="C191" t="s">
        <v>200</v>
      </c>
    </row>
    <row r="192" spans="1:3">
      <c r="C192" t="s">
        <v>201</v>
      </c>
    </row>
    <row r="193" spans="1:3">
      <c r="C193" t="s">
        <v>202</v>
      </c>
    </row>
    <row r="194" spans="1:3">
      <c r="C194" t="s">
        <v>203</v>
      </c>
    </row>
    <row r="195" spans="1:3">
      <c r="B195">
        <v>3</v>
      </c>
      <c r="C195" t="s">
        <v>231</v>
      </c>
    </row>
    <row r="196" spans="1:3">
      <c r="C196" t="s">
        <v>204</v>
      </c>
    </row>
    <row r="198" spans="1:3">
      <c r="A198" t="s">
        <v>214</v>
      </c>
      <c r="C198" t="s">
        <v>205</v>
      </c>
    </row>
    <row r="199" spans="1:3">
      <c r="C199" t="s">
        <v>206</v>
      </c>
    </row>
    <row r="200" spans="1:3">
      <c r="C200" t="s">
        <v>207</v>
      </c>
    </row>
    <row r="201" spans="1:3">
      <c r="C201" t="s">
        <v>213</v>
      </c>
    </row>
    <row r="203" spans="1:3">
      <c r="A203" t="s">
        <v>219</v>
      </c>
      <c r="C203" t="s">
        <v>215</v>
      </c>
    </row>
    <row r="204" spans="1:3">
      <c r="C204" t="s">
        <v>216</v>
      </c>
    </row>
    <row r="205" spans="1:3">
      <c r="C205" t="s">
        <v>217</v>
      </c>
    </row>
    <row r="206" spans="1:3">
      <c r="C206" t="s">
        <v>218</v>
      </c>
    </row>
    <row r="208" spans="1:3">
      <c r="A208" t="s">
        <v>223</v>
      </c>
      <c r="C208" t="s">
        <v>220</v>
      </c>
    </row>
    <row r="209" spans="3:3">
      <c r="C209" t="s">
        <v>221</v>
      </c>
    </row>
    <row r="210" spans="3:3">
      <c r="C210" t="s">
        <v>222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CA2A-853B-ED4B-9B61-3E2DB850F93C}">
  <dimension ref="B1:F87"/>
  <sheetViews>
    <sheetView tabSelected="1" topLeftCell="A12" workbookViewId="0">
      <selection activeCell="F29" sqref="F29"/>
    </sheetView>
  </sheetViews>
  <sheetFormatPr baseColWidth="10" defaultRowHeight="16"/>
  <cols>
    <col min="2" max="2" width="20.6640625" customWidth="1"/>
    <col min="3" max="3" width="9.5" customWidth="1"/>
    <col min="4" max="4" width="9.83203125" customWidth="1"/>
    <col min="5" max="5" width="20.6640625" customWidth="1"/>
  </cols>
  <sheetData>
    <row r="1" spans="2:6">
      <c r="B1" s="34" t="s">
        <v>399</v>
      </c>
      <c r="C1" s="39" t="s">
        <v>538</v>
      </c>
    </row>
    <row r="2" spans="2:6">
      <c r="B2" s="68" t="s">
        <v>541</v>
      </c>
      <c r="C2" s="36" t="s">
        <v>396</v>
      </c>
    </row>
    <row r="3" spans="2:6">
      <c r="C3" s="37" t="s">
        <v>572</v>
      </c>
    </row>
    <row r="4" spans="2:6">
      <c r="C4" s="40" t="s">
        <v>573</v>
      </c>
    </row>
    <row r="5" spans="2:6">
      <c r="C5" s="66"/>
    </row>
    <row r="6" spans="2:6">
      <c r="B6" s="34" t="s">
        <v>400</v>
      </c>
      <c r="C6" t="s">
        <v>542</v>
      </c>
      <c r="D6" t="s">
        <v>543</v>
      </c>
      <c r="E6" t="s">
        <v>365</v>
      </c>
      <c r="F6" t="s">
        <v>512</v>
      </c>
    </row>
    <row r="7" spans="2:6">
      <c r="B7" s="34"/>
    </row>
    <row r="8" spans="2:6">
      <c r="B8" t="s">
        <v>401</v>
      </c>
      <c r="C8" t="s">
        <v>500</v>
      </c>
      <c r="D8" t="s">
        <v>555</v>
      </c>
      <c r="E8" t="s">
        <v>401</v>
      </c>
    </row>
    <row r="9" spans="2:6">
      <c r="B9" t="s">
        <v>401</v>
      </c>
      <c r="C9" s="37" t="s">
        <v>566</v>
      </c>
      <c r="D9" s="37" t="s">
        <v>568</v>
      </c>
      <c r="E9" t="s">
        <v>569</v>
      </c>
    </row>
    <row r="10" spans="2:6">
      <c r="B10" t="s">
        <v>402</v>
      </c>
      <c r="C10" t="s">
        <v>442</v>
      </c>
    </row>
    <row r="11" spans="2:6">
      <c r="B11" t="s">
        <v>403</v>
      </c>
      <c r="C11" t="s">
        <v>424</v>
      </c>
    </row>
    <row r="13" spans="2:6">
      <c r="B13" t="s">
        <v>66</v>
      </c>
      <c r="C13" t="s">
        <v>425</v>
      </c>
    </row>
    <row r="14" spans="2:6">
      <c r="B14" t="s">
        <v>570</v>
      </c>
      <c r="C14" s="37" t="s">
        <v>567</v>
      </c>
      <c r="D14" s="37" t="s">
        <v>571</v>
      </c>
    </row>
    <row r="15" spans="2:6">
      <c r="B15" s="67" t="s">
        <v>412</v>
      </c>
      <c r="C15" s="37" t="s">
        <v>426</v>
      </c>
      <c r="D15" s="37" t="s">
        <v>483</v>
      </c>
    </row>
    <row r="16" spans="2:6">
      <c r="B16" t="s">
        <v>404</v>
      </c>
      <c r="C16" t="s">
        <v>427</v>
      </c>
    </row>
    <row r="18" spans="2:5">
      <c r="B18" t="s">
        <v>406</v>
      </c>
      <c r="C18" t="s">
        <v>437</v>
      </c>
      <c r="E18" t="s">
        <v>546</v>
      </c>
    </row>
    <row r="19" spans="2:5">
      <c r="B19" t="s">
        <v>407</v>
      </c>
      <c r="C19" s="37" t="s">
        <v>439</v>
      </c>
      <c r="D19" s="37" t="s">
        <v>556</v>
      </c>
    </row>
    <row r="20" spans="2:5">
      <c r="B20" t="s">
        <v>408</v>
      </c>
      <c r="C20" t="s">
        <v>429</v>
      </c>
    </row>
    <row r="21" spans="2:5">
      <c r="B21" t="s">
        <v>482</v>
      </c>
      <c r="C21" t="s">
        <v>433</v>
      </c>
    </row>
    <row r="22" spans="2:5">
      <c r="B22" t="s">
        <v>410</v>
      </c>
      <c r="C22" s="36" t="s">
        <v>432</v>
      </c>
      <c r="D22" s="36" t="s">
        <v>1140</v>
      </c>
      <c r="E22" t="s">
        <v>510</v>
      </c>
    </row>
    <row r="23" spans="2:5">
      <c r="B23" s="67" t="s">
        <v>409</v>
      </c>
      <c r="C23" s="37" t="s">
        <v>430</v>
      </c>
      <c r="D23" s="37" t="s">
        <v>481</v>
      </c>
    </row>
    <row r="25" spans="2:5">
      <c r="B25" t="s">
        <v>411</v>
      </c>
      <c r="C25" t="s">
        <v>438</v>
      </c>
      <c r="E25" t="s">
        <v>547</v>
      </c>
    </row>
    <row r="26" spans="2:5">
      <c r="B26" t="s">
        <v>407</v>
      </c>
      <c r="C26" s="37" t="s">
        <v>440</v>
      </c>
      <c r="D26" s="37" t="s">
        <v>557</v>
      </c>
    </row>
    <row r="27" spans="2:5">
      <c r="B27" t="s">
        <v>408</v>
      </c>
      <c r="C27" t="s">
        <v>434</v>
      </c>
    </row>
    <row r="28" spans="2:5">
      <c r="B28" t="s">
        <v>482</v>
      </c>
      <c r="C28" t="s">
        <v>436</v>
      </c>
    </row>
    <row r="29" spans="2:5">
      <c r="B29" t="s">
        <v>410</v>
      </c>
      <c r="C29" s="36" t="s">
        <v>435</v>
      </c>
      <c r="D29" s="36" t="s">
        <v>1141</v>
      </c>
      <c r="E29" t="s">
        <v>510</v>
      </c>
    </row>
    <row r="30" spans="2:5">
      <c r="B30" s="67" t="s">
        <v>409</v>
      </c>
      <c r="C30" s="37" t="s">
        <v>431</v>
      </c>
      <c r="D30" s="37" t="s">
        <v>480</v>
      </c>
    </row>
    <row r="32" spans="2:5">
      <c r="B32" s="67" t="s">
        <v>471</v>
      </c>
      <c r="C32" t="s">
        <v>423</v>
      </c>
      <c r="D32" t="s">
        <v>474</v>
      </c>
    </row>
    <row r="33" spans="2:5">
      <c r="B33" s="67" t="s">
        <v>472</v>
      </c>
      <c r="C33" t="s">
        <v>441</v>
      </c>
      <c r="D33" t="s">
        <v>475</v>
      </c>
    </row>
    <row r="35" spans="2:5">
      <c r="B35" t="s">
        <v>535</v>
      </c>
      <c r="C35" s="39" t="s">
        <v>536</v>
      </c>
      <c r="D35" s="39" t="s">
        <v>548</v>
      </c>
      <c r="E35" t="s">
        <v>537</v>
      </c>
    </row>
    <row r="36" spans="2:5">
      <c r="B36" t="s">
        <v>534</v>
      </c>
      <c r="C36" s="37" t="s">
        <v>428</v>
      </c>
      <c r="D36" s="37" t="s">
        <v>553</v>
      </c>
    </row>
    <row r="38" spans="2:5">
      <c r="B38" t="s">
        <v>530</v>
      </c>
      <c r="C38" t="s">
        <v>501</v>
      </c>
    </row>
    <row r="39" spans="2:5">
      <c r="B39" t="s">
        <v>531</v>
      </c>
      <c r="C39" t="s">
        <v>502</v>
      </c>
      <c r="E39" t="s">
        <v>533</v>
      </c>
    </row>
    <row r="40" spans="2:5">
      <c r="B40" t="s">
        <v>167</v>
      </c>
      <c r="C40" s="37" t="s">
        <v>503</v>
      </c>
      <c r="D40" s="37" t="s">
        <v>554</v>
      </c>
      <c r="E40" t="s">
        <v>511</v>
      </c>
    </row>
    <row r="41" spans="2:5">
      <c r="B41" s="67" t="s">
        <v>532</v>
      </c>
      <c r="C41" t="s">
        <v>504</v>
      </c>
      <c r="D41" t="s">
        <v>505</v>
      </c>
    </row>
    <row r="43" spans="2:5">
      <c r="B43" t="s">
        <v>405</v>
      </c>
      <c r="C43" t="s">
        <v>469</v>
      </c>
    </row>
    <row r="44" spans="2:5">
      <c r="B44" s="67" t="s">
        <v>470</v>
      </c>
      <c r="C44" t="s">
        <v>473</v>
      </c>
      <c r="D44" t="s">
        <v>476</v>
      </c>
    </row>
    <row r="45" spans="2:5">
      <c r="B45" s="67" t="s">
        <v>498</v>
      </c>
      <c r="C45" s="66" t="s">
        <v>422</v>
      </c>
      <c r="D45" t="s">
        <v>499</v>
      </c>
    </row>
    <row r="47" spans="2:5">
      <c r="B47" s="34" t="s">
        <v>413</v>
      </c>
    </row>
    <row r="49" spans="2:5">
      <c r="B49" s="67" t="s">
        <v>414</v>
      </c>
      <c r="C49" s="40" t="s">
        <v>443</v>
      </c>
      <c r="D49" s="40" t="s">
        <v>477</v>
      </c>
    </row>
    <row r="50" spans="2:5">
      <c r="B50" s="67" t="s">
        <v>415</v>
      </c>
      <c r="C50" s="40" t="s">
        <v>444</v>
      </c>
      <c r="D50" s="40" t="s">
        <v>478</v>
      </c>
    </row>
    <row r="51" spans="2:5">
      <c r="B51" s="67" t="s">
        <v>463</v>
      </c>
      <c r="C51" s="40" t="s">
        <v>462</v>
      </c>
      <c r="D51" s="40" t="s">
        <v>479</v>
      </c>
    </row>
    <row r="53" spans="2:5">
      <c r="B53" t="s">
        <v>406</v>
      </c>
      <c r="C53" t="s">
        <v>445</v>
      </c>
      <c r="E53" t="s">
        <v>544</v>
      </c>
    </row>
    <row r="54" spans="2:5">
      <c r="B54" t="s">
        <v>416</v>
      </c>
      <c r="C54" s="38" t="s">
        <v>447</v>
      </c>
      <c r="D54" s="36" t="s">
        <v>558</v>
      </c>
      <c r="E54" t="s">
        <v>510</v>
      </c>
    </row>
    <row r="55" spans="2:5">
      <c r="B55" t="s">
        <v>417</v>
      </c>
      <c r="C55" s="38" t="s">
        <v>448</v>
      </c>
      <c r="D55" s="36" t="s">
        <v>559</v>
      </c>
      <c r="E55" t="s">
        <v>510</v>
      </c>
    </row>
    <row r="56" spans="2:5">
      <c r="B56" t="s">
        <v>418</v>
      </c>
      <c r="C56" s="35" t="s">
        <v>449</v>
      </c>
    </row>
    <row r="57" spans="2:5">
      <c r="B57" t="s">
        <v>419</v>
      </c>
      <c r="C57" s="35" t="s">
        <v>450</v>
      </c>
    </row>
    <row r="59" spans="2:5">
      <c r="B59" t="s">
        <v>411</v>
      </c>
      <c r="C59" t="s">
        <v>446</v>
      </c>
      <c r="E59" t="s">
        <v>545</v>
      </c>
    </row>
    <row r="60" spans="2:5">
      <c r="B60" t="s">
        <v>416</v>
      </c>
      <c r="C60" s="36" t="s">
        <v>451</v>
      </c>
      <c r="D60" s="36" t="s">
        <v>560</v>
      </c>
      <c r="E60" t="s">
        <v>510</v>
      </c>
    </row>
    <row r="61" spans="2:5">
      <c r="B61" t="s">
        <v>417</v>
      </c>
      <c r="C61" s="36" t="s">
        <v>452</v>
      </c>
      <c r="D61" s="36" t="s">
        <v>561</v>
      </c>
      <c r="E61" t="s">
        <v>510</v>
      </c>
    </row>
    <row r="62" spans="2:5">
      <c r="B62" t="s">
        <v>418</v>
      </c>
      <c r="C62" t="s">
        <v>453</v>
      </c>
    </row>
    <row r="63" spans="2:5">
      <c r="B63" t="s">
        <v>419</v>
      </c>
      <c r="C63" t="s">
        <v>454</v>
      </c>
    </row>
    <row r="65" spans="2:5">
      <c r="B65" t="s">
        <v>420</v>
      </c>
      <c r="C65" s="36" t="s">
        <v>455</v>
      </c>
      <c r="D65" s="36" t="s">
        <v>562</v>
      </c>
      <c r="E65" t="s">
        <v>510</v>
      </c>
    </row>
    <row r="66" spans="2:5">
      <c r="B66" s="67" t="s">
        <v>549</v>
      </c>
      <c r="C66" t="s">
        <v>468</v>
      </c>
      <c r="D66" t="s">
        <v>491</v>
      </c>
    </row>
    <row r="67" spans="2:5">
      <c r="B67" t="s">
        <v>421</v>
      </c>
      <c r="C67" s="36" t="s">
        <v>456</v>
      </c>
      <c r="D67" s="36" t="s">
        <v>563</v>
      </c>
      <c r="E67" t="s">
        <v>510</v>
      </c>
    </row>
    <row r="69" spans="2:5">
      <c r="B69" t="s">
        <v>457</v>
      </c>
      <c r="C69" t="s">
        <v>458</v>
      </c>
    </row>
    <row r="70" spans="2:5">
      <c r="B70" s="67" t="s">
        <v>461</v>
      </c>
      <c r="C70" t="s">
        <v>464</v>
      </c>
      <c r="D70" t="s">
        <v>539</v>
      </c>
    </row>
    <row r="71" spans="2:5">
      <c r="B71" s="67" t="s">
        <v>461</v>
      </c>
      <c r="C71" s="40" t="s">
        <v>464</v>
      </c>
      <c r="D71" s="40" t="s">
        <v>484</v>
      </c>
    </row>
    <row r="72" spans="2:5">
      <c r="B72" t="s">
        <v>459</v>
      </c>
      <c r="C72" t="s">
        <v>460</v>
      </c>
    </row>
    <row r="73" spans="2:5">
      <c r="B73" s="67" t="s">
        <v>465</v>
      </c>
      <c r="C73" s="66" t="s">
        <v>466</v>
      </c>
      <c r="D73" t="s">
        <v>540</v>
      </c>
    </row>
    <row r="74" spans="2:5">
      <c r="B74" s="67" t="s">
        <v>465</v>
      </c>
      <c r="C74" s="40" t="s">
        <v>466</v>
      </c>
      <c r="D74" s="40" t="s">
        <v>485</v>
      </c>
    </row>
    <row r="75" spans="2:5">
      <c r="B75" s="67" t="s">
        <v>467</v>
      </c>
      <c r="C75" s="40" t="s">
        <v>487</v>
      </c>
      <c r="D75" s="40" t="s">
        <v>488</v>
      </c>
    </row>
    <row r="76" spans="2:5">
      <c r="B76" s="67" t="s">
        <v>467</v>
      </c>
      <c r="C76" s="66" t="s">
        <v>487</v>
      </c>
      <c r="D76" t="s">
        <v>552</v>
      </c>
    </row>
    <row r="77" spans="2:5">
      <c r="B77" s="67" t="s">
        <v>591</v>
      </c>
      <c r="C77" s="40" t="s">
        <v>590</v>
      </c>
      <c r="D77" s="40" t="s">
        <v>592</v>
      </c>
      <c r="E77" t="s">
        <v>593</v>
      </c>
    </row>
    <row r="79" spans="2:5">
      <c r="B79" s="67" t="s">
        <v>486</v>
      </c>
      <c r="C79" t="s">
        <v>489</v>
      </c>
      <c r="D79" t="s">
        <v>490</v>
      </c>
    </row>
    <row r="80" spans="2:5">
      <c r="B80" s="67" t="s">
        <v>550</v>
      </c>
      <c r="C80" t="s">
        <v>493</v>
      </c>
      <c r="D80" t="s">
        <v>492</v>
      </c>
    </row>
    <row r="81" spans="2:5">
      <c r="B81" s="67" t="s">
        <v>551</v>
      </c>
      <c r="C81" t="s">
        <v>494</v>
      </c>
      <c r="D81" t="s">
        <v>495</v>
      </c>
    </row>
    <row r="82" spans="2:5">
      <c r="B82" s="67" t="s">
        <v>24</v>
      </c>
      <c r="C82" t="s">
        <v>496</v>
      </c>
      <c r="D82" t="s">
        <v>497</v>
      </c>
    </row>
    <row r="83" spans="2:5">
      <c r="B83" s="67" t="s">
        <v>595</v>
      </c>
      <c r="C83" t="s">
        <v>596</v>
      </c>
      <c r="D83" t="s">
        <v>597</v>
      </c>
    </row>
    <row r="85" spans="2:5">
      <c r="B85" t="s">
        <v>506</v>
      </c>
      <c r="C85" t="s">
        <v>460</v>
      </c>
      <c r="D85" t="s">
        <v>508</v>
      </c>
    </row>
    <row r="86" spans="2:5">
      <c r="B86" s="67" t="s">
        <v>598</v>
      </c>
      <c r="C86" t="s">
        <v>599</v>
      </c>
      <c r="D86" t="s">
        <v>600</v>
      </c>
    </row>
    <row r="87" spans="2:5">
      <c r="B87" t="s">
        <v>507</v>
      </c>
      <c r="C87" s="36" t="s">
        <v>509</v>
      </c>
      <c r="D87" s="36" t="s">
        <v>564</v>
      </c>
      <c r="E87" t="s">
        <v>510</v>
      </c>
    </row>
  </sheetData>
  <pageMargins left="0.7" right="0.7" top="0.75" bottom="0.75" header="0.3" footer="0.3"/>
  <pageSetup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6AD22-5ABD-AE4D-A650-F4BBFE0C2BBE}">
  <sheetPr>
    <pageSetUpPr fitToPage="1"/>
  </sheetPr>
  <dimension ref="B2:AF49"/>
  <sheetViews>
    <sheetView topLeftCell="E24" workbookViewId="0">
      <selection activeCell="AG51" sqref="AG51"/>
    </sheetView>
  </sheetViews>
  <sheetFormatPr baseColWidth="10" defaultRowHeight="16"/>
  <cols>
    <col min="1" max="1" width="3" customWidth="1"/>
    <col min="2" max="2" width="11.83203125" customWidth="1"/>
    <col min="3" max="20" width="5.6640625" customWidth="1"/>
    <col min="21" max="21" width="6.33203125" customWidth="1"/>
    <col min="22" max="22" width="6" customWidth="1"/>
    <col min="23" max="25" width="0.1640625" customWidth="1"/>
    <col min="27" max="27" width="22" customWidth="1"/>
    <col min="28" max="28" width="7.33203125" customWidth="1"/>
    <col min="29" max="29" width="7.5" customWidth="1"/>
    <col min="30" max="31" width="10.83203125" style="3"/>
  </cols>
  <sheetData>
    <row r="2" spans="2:32">
      <c r="B2" t="s">
        <v>396</v>
      </c>
      <c r="AA2" s="34" t="s">
        <v>396</v>
      </c>
      <c r="AB2" s="34" t="s">
        <v>621</v>
      </c>
      <c r="AC2" s="34" t="s">
        <v>622</v>
      </c>
      <c r="AD2" s="8" t="s">
        <v>623</v>
      </c>
      <c r="AE2" s="8" t="s">
        <v>620</v>
      </c>
      <c r="AF2" s="8" t="s">
        <v>682</v>
      </c>
    </row>
    <row r="3" spans="2:32" ht="17" thickBot="1"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AA3" t="s">
        <v>610</v>
      </c>
      <c r="AB3" t="s">
        <v>447</v>
      </c>
      <c r="AC3" t="s">
        <v>624</v>
      </c>
      <c r="AD3" s="3">
        <v>2</v>
      </c>
      <c r="AE3" s="3" t="s">
        <v>637</v>
      </c>
    </row>
    <row r="4" spans="2:32">
      <c r="B4" t="s">
        <v>397</v>
      </c>
      <c r="C4" s="44" t="s">
        <v>517</v>
      </c>
      <c r="D4" s="45" t="s">
        <v>516</v>
      </c>
      <c r="E4" s="44" t="s">
        <v>517</v>
      </c>
      <c r="F4" s="45" t="s">
        <v>516</v>
      </c>
      <c r="G4" s="44" t="s">
        <v>517</v>
      </c>
      <c r="H4" s="45" t="s">
        <v>516</v>
      </c>
      <c r="I4" s="44" t="s">
        <v>517</v>
      </c>
      <c r="J4" s="45" t="s">
        <v>516</v>
      </c>
      <c r="K4" s="44" t="s">
        <v>517</v>
      </c>
      <c r="L4" s="45" t="s">
        <v>516</v>
      </c>
      <c r="M4" s="44" t="s">
        <v>517</v>
      </c>
      <c r="N4" s="45" t="s">
        <v>516</v>
      </c>
      <c r="O4" s="44" t="s">
        <v>517</v>
      </c>
      <c r="P4" s="45" t="s">
        <v>516</v>
      </c>
      <c r="Q4" s="46" t="s">
        <v>517</v>
      </c>
      <c r="AA4" t="s">
        <v>611</v>
      </c>
      <c r="AB4" t="s">
        <v>448</v>
      </c>
      <c r="AC4" t="s">
        <v>624</v>
      </c>
      <c r="AD4" s="3">
        <v>4</v>
      </c>
      <c r="AE4" s="3" t="s">
        <v>638</v>
      </c>
    </row>
    <row r="5" spans="2:32" ht="17" thickBot="1">
      <c r="C5" s="60" t="s">
        <v>447</v>
      </c>
      <c r="D5" s="62"/>
      <c r="E5" s="60" t="s">
        <v>448</v>
      </c>
      <c r="F5" s="62"/>
      <c r="G5" s="60" t="s">
        <v>451</v>
      </c>
      <c r="H5" s="62"/>
      <c r="I5" s="60" t="s">
        <v>452</v>
      </c>
      <c r="J5" s="62"/>
      <c r="K5" s="60" t="s">
        <v>455</v>
      </c>
      <c r="L5" s="62"/>
      <c r="M5" s="60" t="s">
        <v>456</v>
      </c>
      <c r="N5" s="62"/>
      <c r="O5" s="60" t="s">
        <v>519</v>
      </c>
      <c r="P5" s="62"/>
      <c r="Q5" s="63" t="s">
        <v>602</v>
      </c>
      <c r="AA5" t="s">
        <v>612</v>
      </c>
      <c r="AB5" t="s">
        <v>451</v>
      </c>
      <c r="AC5" t="s">
        <v>624</v>
      </c>
      <c r="AD5" s="3">
        <v>6</v>
      </c>
      <c r="AE5" s="3" t="s">
        <v>639</v>
      </c>
    </row>
    <row r="6" spans="2:32" ht="17" thickBot="1">
      <c r="AA6" t="s">
        <v>619</v>
      </c>
      <c r="AB6" t="s">
        <v>452</v>
      </c>
      <c r="AC6" t="s">
        <v>624</v>
      </c>
      <c r="AD6" s="3">
        <v>8</v>
      </c>
      <c r="AE6" s="3" t="s">
        <v>640</v>
      </c>
      <c r="AF6" s="34"/>
    </row>
    <row r="7" spans="2:32">
      <c r="B7" t="s">
        <v>398</v>
      </c>
      <c r="C7" s="54" t="s">
        <v>433</v>
      </c>
      <c r="D7" s="64"/>
      <c r="E7" s="54" t="s">
        <v>436</v>
      </c>
      <c r="F7" s="64"/>
      <c r="G7" s="54" t="s">
        <v>509</v>
      </c>
      <c r="H7" s="64"/>
      <c r="I7" s="47"/>
      <c r="J7" s="71"/>
      <c r="K7" s="71" t="s">
        <v>513</v>
      </c>
      <c r="L7" s="71"/>
      <c r="M7" s="72"/>
      <c r="N7" s="69" t="s">
        <v>594</v>
      </c>
      <c r="O7" s="70"/>
      <c r="P7" s="65" t="s">
        <v>518</v>
      </c>
      <c r="Q7" s="65" t="s">
        <v>601</v>
      </c>
      <c r="AA7" t="s">
        <v>613</v>
      </c>
      <c r="AB7" t="s">
        <v>455</v>
      </c>
      <c r="AC7" t="s">
        <v>624</v>
      </c>
      <c r="AD7" s="3">
        <v>10</v>
      </c>
      <c r="AE7" s="3" t="s">
        <v>641</v>
      </c>
    </row>
    <row r="8" spans="2:32" ht="17" thickBot="1">
      <c r="C8" s="57" t="s">
        <v>517</v>
      </c>
      <c r="D8" s="58" t="s">
        <v>516</v>
      </c>
      <c r="E8" s="57" t="s">
        <v>517</v>
      </c>
      <c r="F8" s="58" t="s">
        <v>516</v>
      </c>
      <c r="G8" s="57" t="s">
        <v>517</v>
      </c>
      <c r="H8" s="58" t="s">
        <v>516</v>
      </c>
      <c r="I8" s="53"/>
      <c r="J8" s="51"/>
      <c r="K8" s="51"/>
      <c r="L8" s="51"/>
      <c r="M8" s="52"/>
      <c r="N8" s="57" t="s">
        <v>515</v>
      </c>
      <c r="O8" s="58" t="s">
        <v>514</v>
      </c>
      <c r="P8" s="61" t="s">
        <v>516</v>
      </c>
      <c r="Q8" s="61" t="s">
        <v>517</v>
      </c>
      <c r="AA8" t="s">
        <v>614</v>
      </c>
      <c r="AB8" t="s">
        <v>456</v>
      </c>
      <c r="AC8" t="s">
        <v>624</v>
      </c>
      <c r="AD8" s="3">
        <v>12</v>
      </c>
      <c r="AE8" s="3" t="s">
        <v>642</v>
      </c>
    </row>
    <row r="9" spans="2:32">
      <c r="AA9" t="s">
        <v>615</v>
      </c>
      <c r="AB9" t="s">
        <v>433</v>
      </c>
      <c r="AC9" t="s">
        <v>624</v>
      </c>
      <c r="AD9" s="3">
        <v>1</v>
      </c>
      <c r="AE9" s="3" t="s">
        <v>643</v>
      </c>
    </row>
    <row r="10" spans="2:32">
      <c r="B10" t="s">
        <v>572</v>
      </c>
      <c r="AA10" t="s">
        <v>616</v>
      </c>
      <c r="AB10" t="s">
        <v>436</v>
      </c>
      <c r="AC10" t="s">
        <v>624</v>
      </c>
      <c r="AD10" s="3">
        <v>3</v>
      </c>
      <c r="AE10" s="3" t="s">
        <v>644</v>
      </c>
    </row>
    <row r="11" spans="2:32" ht="17" thickBot="1"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M11" s="3">
        <v>10</v>
      </c>
      <c r="N11" s="3">
        <v>11</v>
      </c>
      <c r="O11" s="3">
        <v>12</v>
      </c>
      <c r="P11" s="3">
        <v>13</v>
      </c>
      <c r="Q11" s="3">
        <v>14</v>
      </c>
      <c r="R11" s="3">
        <v>15</v>
      </c>
      <c r="S11" s="3">
        <v>16</v>
      </c>
      <c r="T11" s="3">
        <v>17</v>
      </c>
      <c r="U11" s="3">
        <v>18</v>
      </c>
      <c r="AA11" t="s">
        <v>618</v>
      </c>
      <c r="AB11" t="s">
        <v>509</v>
      </c>
      <c r="AC11" t="s">
        <v>625</v>
      </c>
      <c r="AD11" s="3">
        <v>5</v>
      </c>
      <c r="AE11" s="3" t="s">
        <v>645</v>
      </c>
    </row>
    <row r="12" spans="2:32">
      <c r="B12" t="s">
        <v>397</v>
      </c>
      <c r="C12" s="44" t="s">
        <v>514</v>
      </c>
      <c r="D12" s="45" t="s">
        <v>515</v>
      </c>
      <c r="E12" s="41"/>
      <c r="F12" s="43"/>
      <c r="G12" s="42"/>
      <c r="H12" s="44" t="s">
        <v>515</v>
      </c>
      <c r="I12" s="50" t="s">
        <v>515</v>
      </c>
      <c r="J12" s="50" t="s">
        <v>514</v>
      </c>
      <c r="K12" s="45" t="s">
        <v>514</v>
      </c>
      <c r="L12" s="3"/>
      <c r="M12" s="44" t="s">
        <v>514</v>
      </c>
      <c r="N12" s="50" t="s">
        <v>515</v>
      </c>
      <c r="O12" s="45" t="s">
        <v>513</v>
      </c>
      <c r="P12" s="44" t="s">
        <v>514</v>
      </c>
      <c r="Q12" s="50" t="s">
        <v>515</v>
      </c>
      <c r="R12" s="45" t="s">
        <v>513</v>
      </c>
      <c r="S12" s="44" t="s">
        <v>514</v>
      </c>
      <c r="T12" s="50" t="s">
        <v>515</v>
      </c>
      <c r="U12" s="45" t="s">
        <v>513</v>
      </c>
      <c r="AA12" t="s">
        <v>626</v>
      </c>
      <c r="AD12" s="3">
        <v>14</v>
      </c>
      <c r="AE12" s="3" t="s">
        <v>646</v>
      </c>
    </row>
    <row r="13" spans="2:32" ht="17" thickBot="1">
      <c r="C13" s="60" t="s">
        <v>502</v>
      </c>
      <c r="D13" s="52"/>
      <c r="E13" s="53"/>
      <c r="F13" s="51" t="s">
        <v>513</v>
      </c>
      <c r="G13" s="52"/>
      <c r="H13" s="53"/>
      <c r="I13" s="49"/>
      <c r="J13" s="51" t="s">
        <v>426</v>
      </c>
      <c r="K13" s="52"/>
      <c r="L13" s="3"/>
      <c r="M13" s="53"/>
      <c r="N13" s="51" t="s">
        <v>428</v>
      </c>
      <c r="O13" s="52"/>
      <c r="P13" s="53"/>
      <c r="Q13" s="51" t="s">
        <v>430</v>
      </c>
      <c r="R13" s="52"/>
      <c r="S13" s="53"/>
      <c r="T13" s="51" t="s">
        <v>431</v>
      </c>
      <c r="U13" s="52"/>
    </row>
    <row r="14" spans="2:32" ht="17" thickBot="1">
      <c r="AA14" t="s">
        <v>683</v>
      </c>
      <c r="AC14" s="3" t="s">
        <v>684</v>
      </c>
      <c r="AE14" s="3" t="s">
        <v>686</v>
      </c>
      <c r="AF14" s="3" t="s">
        <v>688</v>
      </c>
    </row>
    <row r="15" spans="2:32">
      <c r="B15" t="s">
        <v>398</v>
      </c>
      <c r="C15" s="54" t="s">
        <v>566</v>
      </c>
      <c r="D15" s="42"/>
      <c r="E15" s="54" t="s">
        <v>567</v>
      </c>
      <c r="F15" s="42"/>
      <c r="G15" s="54"/>
      <c r="H15" s="55" t="s">
        <v>439</v>
      </c>
      <c r="I15" s="48"/>
      <c r="J15" s="56"/>
      <c r="K15" s="42"/>
      <c r="L15" s="3"/>
      <c r="M15" s="54"/>
      <c r="N15" s="55" t="s">
        <v>440</v>
      </c>
      <c r="O15" s="48"/>
      <c r="P15" s="56"/>
      <c r="Q15" s="42"/>
      <c r="R15" s="55" t="s">
        <v>513</v>
      </c>
      <c r="S15" s="42"/>
      <c r="T15" s="54" t="s">
        <v>529</v>
      </c>
      <c r="U15" s="42"/>
      <c r="AC15" s="3" t="s">
        <v>685</v>
      </c>
      <c r="AE15" s="3" t="s">
        <v>687</v>
      </c>
    </row>
    <row r="16" spans="2:32" ht="17" thickBot="1">
      <c r="C16" s="57" t="s">
        <v>514</v>
      </c>
      <c r="D16" s="58" t="s">
        <v>515</v>
      </c>
      <c r="E16" s="57" t="s">
        <v>514</v>
      </c>
      <c r="F16" s="58" t="s">
        <v>515</v>
      </c>
      <c r="G16" s="57" t="s">
        <v>514</v>
      </c>
      <c r="H16" s="59" t="s">
        <v>515</v>
      </c>
      <c r="I16" s="59" t="s">
        <v>520</v>
      </c>
      <c r="J16" s="59" t="s">
        <v>521</v>
      </c>
      <c r="K16" s="58" t="s">
        <v>522</v>
      </c>
      <c r="L16" s="3"/>
      <c r="M16" s="57" t="s">
        <v>514</v>
      </c>
      <c r="N16" s="59" t="s">
        <v>515</v>
      </c>
      <c r="O16" s="59" t="s">
        <v>520</v>
      </c>
      <c r="P16" s="59" t="s">
        <v>521</v>
      </c>
      <c r="Q16" s="58" t="s">
        <v>522</v>
      </c>
      <c r="R16" s="59"/>
      <c r="S16" s="58"/>
      <c r="T16" s="57" t="s">
        <v>514</v>
      </c>
      <c r="U16" s="58" t="s">
        <v>515</v>
      </c>
    </row>
    <row r="18" spans="27:31">
      <c r="AA18" s="34" t="s">
        <v>603</v>
      </c>
    </row>
    <row r="19" spans="27:31">
      <c r="AA19" t="s">
        <v>523</v>
      </c>
      <c r="AB19" t="s">
        <v>566</v>
      </c>
      <c r="AC19" t="s">
        <v>627</v>
      </c>
      <c r="AD19" s="3">
        <v>5</v>
      </c>
      <c r="AE19" s="3" t="s">
        <v>647</v>
      </c>
    </row>
    <row r="21" spans="27:31">
      <c r="AA21" t="s">
        <v>565</v>
      </c>
      <c r="AB21" t="s">
        <v>567</v>
      </c>
      <c r="AC21" t="s">
        <v>628</v>
      </c>
      <c r="AD21" s="3">
        <v>7</v>
      </c>
      <c r="AE21" s="3" t="s">
        <v>648</v>
      </c>
    </row>
    <row r="22" spans="27:31">
      <c r="AC22" t="s">
        <v>629</v>
      </c>
      <c r="AD22" s="3">
        <v>9</v>
      </c>
      <c r="AE22" s="3" t="s">
        <v>649</v>
      </c>
    </row>
    <row r="24" spans="27:31">
      <c r="AA24" t="s">
        <v>608</v>
      </c>
      <c r="AB24" t="s">
        <v>528</v>
      </c>
      <c r="AC24" t="s">
        <v>604</v>
      </c>
      <c r="AD24" s="3">
        <v>11</v>
      </c>
      <c r="AE24" s="3" t="s">
        <v>650</v>
      </c>
    </row>
    <row r="25" spans="27:31">
      <c r="AC25" t="s">
        <v>607</v>
      </c>
      <c r="AD25" s="3">
        <v>13</v>
      </c>
      <c r="AE25" s="3" t="s">
        <v>651</v>
      </c>
    </row>
    <row r="26" spans="27:31">
      <c r="AC26" t="s">
        <v>605</v>
      </c>
      <c r="AD26" s="3">
        <v>19</v>
      </c>
      <c r="AE26" s="3" t="s">
        <v>654</v>
      </c>
    </row>
    <row r="27" spans="27:31">
      <c r="AC27" t="s">
        <v>606</v>
      </c>
      <c r="AD27" s="3">
        <v>21</v>
      </c>
      <c r="AE27" s="3" t="s">
        <v>655</v>
      </c>
    </row>
    <row r="29" spans="27:31">
      <c r="AA29" t="s">
        <v>609</v>
      </c>
      <c r="AB29" t="s">
        <v>440</v>
      </c>
      <c r="AC29" t="s">
        <v>604</v>
      </c>
      <c r="AD29" s="3">
        <v>15</v>
      </c>
      <c r="AE29" s="3" t="s">
        <v>652</v>
      </c>
    </row>
    <row r="30" spans="27:31">
      <c r="AC30" t="s">
        <v>607</v>
      </c>
      <c r="AD30" s="3">
        <v>17</v>
      </c>
      <c r="AE30" s="3" t="s">
        <v>653</v>
      </c>
    </row>
    <row r="31" spans="27:31">
      <c r="AC31" t="s">
        <v>605</v>
      </c>
      <c r="AD31" s="3">
        <v>23</v>
      </c>
      <c r="AE31" s="3" t="s">
        <v>656</v>
      </c>
    </row>
    <row r="32" spans="27:31">
      <c r="AC32" t="s">
        <v>606</v>
      </c>
      <c r="AD32" s="3">
        <v>25</v>
      </c>
      <c r="AE32" s="3" t="s">
        <v>657</v>
      </c>
    </row>
    <row r="34" spans="27:32">
      <c r="AA34" t="s">
        <v>617</v>
      </c>
      <c r="AB34" t="s">
        <v>502</v>
      </c>
      <c r="AC34" t="s">
        <v>630</v>
      </c>
      <c r="AD34" s="3">
        <v>6</v>
      </c>
      <c r="AE34" s="3" t="s">
        <v>658</v>
      </c>
    </row>
    <row r="36" spans="27:32">
      <c r="AA36" t="s">
        <v>524</v>
      </c>
      <c r="AB36" t="s">
        <v>426</v>
      </c>
      <c r="AC36" t="s">
        <v>633</v>
      </c>
      <c r="AD36" s="3">
        <v>8</v>
      </c>
      <c r="AE36" s="3" t="s">
        <v>659</v>
      </c>
    </row>
    <row r="37" spans="27:32">
      <c r="AC37" t="s">
        <v>634</v>
      </c>
      <c r="AD37" s="3">
        <v>10</v>
      </c>
      <c r="AE37" s="3" t="s">
        <v>660</v>
      </c>
    </row>
    <row r="38" spans="27:32">
      <c r="AC38" t="s">
        <v>635</v>
      </c>
      <c r="AD38" s="3">
        <v>12</v>
      </c>
      <c r="AE38" s="3" t="s">
        <v>661</v>
      </c>
    </row>
    <row r="39" spans="27:32">
      <c r="AC39" t="s">
        <v>631</v>
      </c>
      <c r="AD39" s="3">
        <v>14</v>
      </c>
      <c r="AE39" s="3" t="s">
        <v>662</v>
      </c>
    </row>
    <row r="40" spans="27:32">
      <c r="AC40" t="s">
        <v>636</v>
      </c>
      <c r="AD40" s="3">
        <v>16</v>
      </c>
      <c r="AE40" s="3" t="s">
        <v>663</v>
      </c>
    </row>
    <row r="42" spans="27:32">
      <c r="AA42" t="s">
        <v>632</v>
      </c>
      <c r="AC42" t="s">
        <v>634</v>
      </c>
      <c r="AD42" s="3">
        <v>18</v>
      </c>
      <c r="AE42" s="3" t="s">
        <v>667</v>
      </c>
    </row>
    <row r="43" spans="27:32">
      <c r="AA43" t="s">
        <v>632</v>
      </c>
      <c r="AC43" t="s">
        <v>633</v>
      </c>
      <c r="AD43" s="3">
        <v>20</v>
      </c>
      <c r="AE43" s="3" t="s">
        <v>668</v>
      </c>
    </row>
    <row r="44" spans="27:32">
      <c r="AA44" t="s">
        <v>525</v>
      </c>
      <c r="AB44" t="s">
        <v>428</v>
      </c>
      <c r="AC44" t="s">
        <v>631</v>
      </c>
      <c r="AD44" s="3">
        <v>22</v>
      </c>
      <c r="AE44" s="3" t="s">
        <v>664</v>
      </c>
    </row>
    <row r="45" spans="27:32">
      <c r="AA45" t="s">
        <v>527</v>
      </c>
      <c r="AB45" t="s">
        <v>430</v>
      </c>
      <c r="AC45" t="s">
        <v>631</v>
      </c>
      <c r="AD45" s="3">
        <v>24</v>
      </c>
      <c r="AE45" s="3" t="s">
        <v>665</v>
      </c>
    </row>
    <row r="46" spans="27:32">
      <c r="AA46" t="s">
        <v>526</v>
      </c>
      <c r="AB46" t="s">
        <v>431</v>
      </c>
      <c r="AC46" t="s">
        <v>631</v>
      </c>
      <c r="AD46" s="3">
        <v>26</v>
      </c>
      <c r="AE46" s="3" t="s">
        <v>666</v>
      </c>
    </row>
    <row r="48" spans="27:32">
      <c r="AA48" t="s">
        <v>683</v>
      </c>
      <c r="AC48" s="3" t="s">
        <v>684</v>
      </c>
      <c r="AE48" s="3" t="s">
        <v>686</v>
      </c>
      <c r="AF48" s="3" t="s">
        <v>688</v>
      </c>
    </row>
    <row r="49" spans="29:31">
      <c r="AC49" s="3" t="s">
        <v>685</v>
      </c>
      <c r="AE49" s="3" t="s">
        <v>687</v>
      </c>
    </row>
  </sheetData>
  <pageMargins left="0.7" right="0.7" top="0.75" bottom="0.75" header="0.3" footer="0.3"/>
  <pageSetup scale="57" orientation="landscape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81B2-800D-E543-823D-46745B9B817E}">
  <dimension ref="B2:K31"/>
  <sheetViews>
    <sheetView topLeftCell="A9" workbookViewId="0">
      <selection activeCell="K11" sqref="K11"/>
    </sheetView>
  </sheetViews>
  <sheetFormatPr baseColWidth="10" defaultRowHeight="16"/>
  <cols>
    <col min="2" max="2" width="18.83203125" customWidth="1"/>
    <col min="4" max="4" width="11.6640625" customWidth="1"/>
    <col min="7" max="8" width="10.83203125" style="3"/>
  </cols>
  <sheetData>
    <row r="2" spans="2:11">
      <c r="B2" t="s">
        <v>573</v>
      </c>
    </row>
    <row r="5" spans="2:11">
      <c r="D5" s="3" t="s">
        <v>577</v>
      </c>
      <c r="E5" s="3" t="s">
        <v>578</v>
      </c>
      <c r="F5" t="s">
        <v>584</v>
      </c>
      <c r="G5" s="3" t="s">
        <v>622</v>
      </c>
      <c r="H5" s="3" t="s">
        <v>669</v>
      </c>
      <c r="I5" s="3" t="s">
        <v>682</v>
      </c>
    </row>
    <row r="6" spans="2:11">
      <c r="B6" s="67" t="s">
        <v>414</v>
      </c>
      <c r="C6" s="40" t="s">
        <v>443</v>
      </c>
      <c r="D6" s="3" t="s">
        <v>579</v>
      </c>
      <c r="E6" s="3">
        <v>4</v>
      </c>
      <c r="F6" s="3">
        <v>4</v>
      </c>
      <c r="I6" t="s">
        <v>691</v>
      </c>
    </row>
    <row r="7" spans="2:11">
      <c r="G7" s="3" t="s">
        <v>676</v>
      </c>
      <c r="H7" s="3" t="s">
        <v>675</v>
      </c>
    </row>
    <row r="8" spans="2:11">
      <c r="B8" s="67" t="s">
        <v>467</v>
      </c>
      <c r="C8" s="40" t="s">
        <v>487</v>
      </c>
      <c r="D8" s="3" t="s">
        <v>579</v>
      </c>
      <c r="E8" s="3">
        <v>4</v>
      </c>
      <c r="F8" s="3">
        <v>4</v>
      </c>
      <c r="I8" t="s">
        <v>690</v>
      </c>
    </row>
    <row r="9" spans="2:11">
      <c r="G9" s="3" t="s">
        <v>689</v>
      </c>
      <c r="H9" s="3">
        <v>21</v>
      </c>
    </row>
    <row r="10" spans="2:11">
      <c r="G10" s="3" t="s">
        <v>670</v>
      </c>
      <c r="H10" s="3">
        <v>20</v>
      </c>
    </row>
    <row r="11" spans="2:11">
      <c r="B11" s="67" t="s">
        <v>415</v>
      </c>
      <c r="C11" s="40" t="s">
        <v>444</v>
      </c>
      <c r="D11" s="3" t="s">
        <v>580</v>
      </c>
      <c r="E11" s="3">
        <v>3</v>
      </c>
      <c r="F11" s="3">
        <v>3</v>
      </c>
    </row>
    <row r="12" spans="2:11">
      <c r="G12" s="3" t="s">
        <v>633</v>
      </c>
      <c r="H12" s="3" t="s">
        <v>659</v>
      </c>
      <c r="K12" s="3"/>
    </row>
    <row r="13" spans="2:11">
      <c r="G13" s="3" t="s">
        <v>634</v>
      </c>
      <c r="H13" s="3" t="s">
        <v>660</v>
      </c>
      <c r="K13" s="3"/>
    </row>
    <row r="14" spans="2:11">
      <c r="G14" s="3" t="s">
        <v>635</v>
      </c>
      <c r="H14" s="3" t="s">
        <v>661</v>
      </c>
      <c r="K14" s="3"/>
    </row>
    <row r="15" spans="2:11">
      <c r="G15" s="3" t="s">
        <v>631</v>
      </c>
      <c r="H15" s="3" t="s">
        <v>662</v>
      </c>
      <c r="K15" s="3"/>
    </row>
    <row r="16" spans="2:11">
      <c r="G16" s="3" t="s">
        <v>636</v>
      </c>
      <c r="H16" s="3" t="s">
        <v>663</v>
      </c>
      <c r="K16" s="3"/>
    </row>
    <row r="17" spans="2:8">
      <c r="B17" s="67" t="s">
        <v>463</v>
      </c>
      <c r="C17" s="40" t="s">
        <v>462</v>
      </c>
      <c r="D17" s="3" t="s">
        <v>581</v>
      </c>
      <c r="E17" s="3">
        <v>3</v>
      </c>
      <c r="F17" s="3">
        <v>3</v>
      </c>
      <c r="H17" s="3" t="s">
        <v>671</v>
      </c>
    </row>
    <row r="18" spans="2:8">
      <c r="B18" s="67" t="s">
        <v>461</v>
      </c>
      <c r="C18" s="40" t="s">
        <v>464</v>
      </c>
      <c r="D18" s="3" t="s">
        <v>581</v>
      </c>
      <c r="E18" s="3">
        <v>3</v>
      </c>
      <c r="F18" s="3">
        <v>3</v>
      </c>
      <c r="H18" s="3" t="s">
        <v>672</v>
      </c>
    </row>
    <row r="19" spans="2:8">
      <c r="B19" s="67" t="s">
        <v>465</v>
      </c>
      <c r="C19" s="40" t="s">
        <v>466</v>
      </c>
      <c r="D19" s="3" t="s">
        <v>581</v>
      </c>
      <c r="E19" s="3">
        <v>3</v>
      </c>
      <c r="F19" s="3">
        <v>3</v>
      </c>
      <c r="H19" s="3" t="s">
        <v>673</v>
      </c>
    </row>
    <row r="20" spans="2:8">
      <c r="B20" s="67" t="s">
        <v>589</v>
      </c>
      <c r="C20" s="40" t="s">
        <v>590</v>
      </c>
      <c r="D20" s="3" t="s">
        <v>586</v>
      </c>
      <c r="E20" s="3">
        <v>3</v>
      </c>
      <c r="F20" s="3">
        <v>3</v>
      </c>
      <c r="H20" s="3" t="s">
        <v>674</v>
      </c>
    </row>
    <row r="21" spans="2:8">
      <c r="B21" s="10" t="s">
        <v>575</v>
      </c>
      <c r="D21" s="3" t="s">
        <v>587</v>
      </c>
      <c r="E21" s="3">
        <v>2</v>
      </c>
      <c r="F21" s="3">
        <v>3</v>
      </c>
      <c r="H21" s="3" t="s">
        <v>652</v>
      </c>
    </row>
    <row r="22" spans="2:8">
      <c r="B22" s="10" t="s">
        <v>576</v>
      </c>
      <c r="D22" s="3" t="s">
        <v>588</v>
      </c>
      <c r="E22" s="3">
        <v>4</v>
      </c>
      <c r="F22" s="3">
        <v>4</v>
      </c>
      <c r="G22" s="3" t="s">
        <v>677</v>
      </c>
      <c r="H22" s="3" t="s">
        <v>651</v>
      </c>
    </row>
    <row r="23" spans="2:8">
      <c r="G23" s="3" t="s">
        <v>678</v>
      </c>
      <c r="H23" s="3" t="s">
        <v>650</v>
      </c>
    </row>
    <row r="24" spans="2:8">
      <c r="G24" s="3" t="s">
        <v>679</v>
      </c>
      <c r="H24" s="3" t="s">
        <v>649</v>
      </c>
    </row>
    <row r="25" spans="2:8">
      <c r="B25" s="10" t="s">
        <v>582</v>
      </c>
      <c r="D25" s="3" t="s">
        <v>583</v>
      </c>
      <c r="E25" s="3">
        <v>5</v>
      </c>
      <c r="F25" s="3">
        <v>5</v>
      </c>
    </row>
    <row r="26" spans="2:8">
      <c r="G26" s="3" t="s">
        <v>680</v>
      </c>
      <c r="H26" s="3" t="s">
        <v>657</v>
      </c>
    </row>
    <row r="27" spans="2:8">
      <c r="G27" s="3" t="s">
        <v>681</v>
      </c>
      <c r="H27" s="3" t="s">
        <v>656</v>
      </c>
    </row>
    <row r="28" spans="2:8">
      <c r="G28" s="3" t="s">
        <v>659</v>
      </c>
      <c r="H28" s="3" t="s">
        <v>655</v>
      </c>
    </row>
    <row r="29" spans="2:8">
      <c r="B29" s="10" t="s">
        <v>574</v>
      </c>
      <c r="D29" s="3" t="s">
        <v>529</v>
      </c>
      <c r="E29" s="3">
        <v>2</v>
      </c>
      <c r="F29" s="3">
        <v>3</v>
      </c>
    </row>
    <row r="30" spans="2:8">
      <c r="B30" s="10" t="s">
        <v>585</v>
      </c>
      <c r="D30" s="3" t="s">
        <v>529</v>
      </c>
      <c r="E30" s="3">
        <v>2</v>
      </c>
      <c r="F30" s="3">
        <v>3</v>
      </c>
    </row>
    <row r="31" spans="2:8">
      <c r="D31" s="3" t="s">
        <v>343</v>
      </c>
      <c r="E31" s="3">
        <f>SUM(E6:E30)</f>
        <v>38</v>
      </c>
      <c r="F31" s="3"/>
    </row>
  </sheetData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0F04-7E8F-8141-9A6E-2071A9161B7A}">
  <dimension ref="C9"/>
  <sheetViews>
    <sheetView workbookViewId="0">
      <selection activeCell="C14" sqref="C14"/>
    </sheetView>
  </sheetViews>
  <sheetFormatPr baseColWidth="10" defaultRowHeight="16"/>
  <sheetData>
    <row r="9" spans="3:3">
      <c r="C9" s="30">
        <f>5/25.4</f>
        <v>0.19685039370078741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29F55-6959-F041-B63F-D8E2040590AE}">
  <dimension ref="A1:G39"/>
  <sheetViews>
    <sheetView topLeftCell="A22" workbookViewId="0">
      <selection activeCell="G43" sqref="G43"/>
    </sheetView>
  </sheetViews>
  <sheetFormatPr baseColWidth="10" defaultRowHeight="16"/>
  <sheetData>
    <row r="1" spans="1:2">
      <c r="A1" t="s">
        <v>1008</v>
      </c>
    </row>
    <row r="2" spans="1:2">
      <c r="B2" t="s">
        <v>1013</v>
      </c>
    </row>
    <row r="4" spans="1:2">
      <c r="B4" t="s">
        <v>1011</v>
      </c>
    </row>
    <row r="5" spans="1:2" ht="20">
      <c r="B5" s="73" t="s">
        <v>1010</v>
      </c>
    </row>
    <row r="6" spans="1:2" ht="18">
      <c r="B6" s="73"/>
    </row>
    <row r="7" spans="1:2">
      <c r="B7" t="s">
        <v>1009</v>
      </c>
    </row>
    <row r="8" spans="1:2" ht="21">
      <c r="B8" s="73" t="s">
        <v>1012</v>
      </c>
    </row>
    <row r="20" spans="2:7" ht="51">
      <c r="C20" s="7" t="s">
        <v>1019</v>
      </c>
      <c r="D20" s="7" t="s">
        <v>1024</v>
      </c>
      <c r="E20" s="7" t="s">
        <v>1058</v>
      </c>
      <c r="F20" s="7" t="s">
        <v>1059</v>
      </c>
    </row>
    <row r="21" spans="2:7">
      <c r="B21" t="s">
        <v>857</v>
      </c>
      <c r="C21" s="3">
        <v>4.2</v>
      </c>
      <c r="D21" s="3">
        <v>1.2</v>
      </c>
      <c r="G21" t="s">
        <v>1020</v>
      </c>
    </row>
    <row r="22" spans="2:7">
      <c r="B22" t="s">
        <v>1025</v>
      </c>
      <c r="C22" s="3">
        <v>38</v>
      </c>
      <c r="D22" s="3">
        <v>400</v>
      </c>
      <c r="E22">
        <v>27</v>
      </c>
      <c r="F22">
        <v>27</v>
      </c>
      <c r="G22" t="s">
        <v>1020</v>
      </c>
    </row>
    <row r="23" spans="2:7">
      <c r="B23" t="s">
        <v>1027</v>
      </c>
      <c r="C23" s="21">
        <f>(C21/2)^2*PI()</f>
        <v>13.854423602330987</v>
      </c>
      <c r="D23" s="21">
        <f>(D21/2)^2*PI()</f>
        <v>1.1309733552923256</v>
      </c>
      <c r="E23">
        <v>30</v>
      </c>
      <c r="F23">
        <v>40</v>
      </c>
      <c r="G23" t="s">
        <v>378</v>
      </c>
    </row>
    <row r="24" spans="2:7">
      <c r="B24" t="s">
        <v>1026</v>
      </c>
      <c r="C24" s="21">
        <f>C23*C22</f>
        <v>526.46809688857752</v>
      </c>
      <c r="D24" s="21">
        <f>D23*D22</f>
        <v>452.38934211693021</v>
      </c>
      <c r="E24" s="21">
        <f>E23*E22</f>
        <v>810</v>
      </c>
      <c r="F24" s="21">
        <f>F23*F22</f>
        <v>1080</v>
      </c>
      <c r="G24" t="s">
        <v>839</v>
      </c>
    </row>
    <row r="25" spans="2:7">
      <c r="C25" s="3"/>
      <c r="D25" s="3"/>
    </row>
    <row r="26" spans="2:7">
      <c r="B26" t="s">
        <v>1031</v>
      </c>
      <c r="C26" s="3">
        <v>75</v>
      </c>
      <c r="D26" s="3">
        <v>160</v>
      </c>
      <c r="E26">
        <v>200</v>
      </c>
      <c r="F26">
        <v>550</v>
      </c>
      <c r="G26" t="s">
        <v>1030</v>
      </c>
    </row>
    <row r="27" spans="2:7">
      <c r="B27" t="s">
        <v>1032</v>
      </c>
      <c r="C27" s="3">
        <v>150</v>
      </c>
      <c r="D27" s="3">
        <v>150</v>
      </c>
      <c r="E27">
        <v>150</v>
      </c>
      <c r="F27">
        <v>150</v>
      </c>
      <c r="G27" t="s">
        <v>356</v>
      </c>
    </row>
    <row r="28" spans="2:7">
      <c r="C28" s="3"/>
      <c r="D28" s="3"/>
    </row>
    <row r="29" spans="2:7">
      <c r="B29" t="s">
        <v>1031</v>
      </c>
      <c r="C29" s="3">
        <f>C26*1000/60</f>
        <v>1250</v>
      </c>
      <c r="D29" s="81">
        <f>D26*1000/60</f>
        <v>2666.6666666666665</v>
      </c>
      <c r="E29" s="81">
        <f>E26*1000/60</f>
        <v>3333.3333333333335</v>
      </c>
      <c r="F29" s="81">
        <f>F26*1000/60</f>
        <v>9166.6666666666661</v>
      </c>
      <c r="G29" t="s">
        <v>1017</v>
      </c>
    </row>
    <row r="30" spans="2:7">
      <c r="B30" t="s">
        <v>1033</v>
      </c>
      <c r="C30" s="3">
        <f>C29*100/(100+C27)</f>
        <v>500</v>
      </c>
      <c r="D30" s="81">
        <f>D29*100/(100+D27)</f>
        <v>1066.6666666666665</v>
      </c>
      <c r="E30" s="81">
        <f>E29*100/(100+E27)</f>
        <v>1333.3333333333335</v>
      </c>
      <c r="F30" s="81">
        <f>F29*100/(100+F27)</f>
        <v>3666.6666666666665</v>
      </c>
      <c r="G30" t="s">
        <v>1018</v>
      </c>
    </row>
    <row r="31" spans="2:7">
      <c r="C31" s="5">
        <f>C30/C23</f>
        <v>36.08955625666561</v>
      </c>
      <c r="D31" s="5">
        <f>D30/D23</f>
        <v>943.14040350752782</v>
      </c>
      <c r="E31" s="5">
        <f>E30/E23</f>
        <v>44.44444444444445</v>
      </c>
      <c r="F31" s="5">
        <f>F30/F23</f>
        <v>91.666666666666657</v>
      </c>
      <c r="G31" t="s">
        <v>230</v>
      </c>
    </row>
    <row r="32" spans="2:7">
      <c r="B32" t="s">
        <v>1034</v>
      </c>
      <c r="C32" s="21">
        <f>C31/100</f>
        <v>0.36089556256665611</v>
      </c>
      <c r="D32" s="21">
        <f>D31/100</f>
        <v>9.4314040350752784</v>
      </c>
      <c r="E32" s="21">
        <f>E31/100</f>
        <v>0.44444444444444448</v>
      </c>
      <c r="F32" s="21">
        <f>F31/100</f>
        <v>0.91666666666666652</v>
      </c>
      <c r="G32" t="s">
        <v>334</v>
      </c>
    </row>
    <row r="34" spans="2:7">
      <c r="B34" t="s">
        <v>1014</v>
      </c>
      <c r="C34" s="21">
        <f>12.12-(1.16*C32)+11.6*C32^0.5</f>
        <v>18.670012874906931</v>
      </c>
      <c r="D34" s="21">
        <f>12.12-(1.16*D32)+11.6*D32^0.5</f>
        <v>36.803856953690378</v>
      </c>
      <c r="E34" s="21">
        <f>12.12-(1.16*E32)+11.6*E32^0.5</f>
        <v>19.337777777777777</v>
      </c>
      <c r="F34" s="21">
        <f>12.12-(1.16*F32)+11.6*F32^0.5</f>
        <v>22.162821116640188</v>
      </c>
      <c r="G34" t="s">
        <v>1029</v>
      </c>
    </row>
    <row r="35" spans="2:7">
      <c r="B35" t="s">
        <v>1028</v>
      </c>
      <c r="C35" s="21">
        <f>PI()*C21*C22</f>
        <v>501.39818751293097</v>
      </c>
      <c r="D35" s="21">
        <f>PI()*D21*D22</f>
        <v>1507.9644737231006</v>
      </c>
      <c r="E35" s="21">
        <v>8500</v>
      </c>
      <c r="F35" s="21">
        <v>11350</v>
      </c>
      <c r="G35" t="s">
        <v>378</v>
      </c>
    </row>
    <row r="36" spans="2:7">
      <c r="B36" t="s">
        <v>383</v>
      </c>
      <c r="C36" s="141">
        <f>C35/10000</f>
        <v>5.01398187512931E-2</v>
      </c>
      <c r="D36" s="141">
        <f>D35/10000</f>
        <v>0.15079644737231007</v>
      </c>
      <c r="E36" s="141">
        <f>E35/10000</f>
        <v>0.85</v>
      </c>
      <c r="F36" s="141">
        <f>F35/10000</f>
        <v>1.135</v>
      </c>
      <c r="G36" t="s">
        <v>1021</v>
      </c>
    </row>
    <row r="37" spans="2:7">
      <c r="B37" t="s">
        <v>1015</v>
      </c>
      <c r="C37" s="3">
        <v>45</v>
      </c>
      <c r="D37" s="3">
        <v>45</v>
      </c>
      <c r="E37" s="3">
        <v>45</v>
      </c>
      <c r="F37" s="3">
        <v>45</v>
      </c>
      <c r="G37" t="s">
        <v>303</v>
      </c>
    </row>
    <row r="38" spans="2:7">
      <c r="B38" t="s">
        <v>1016</v>
      </c>
      <c r="C38" s="3">
        <v>25</v>
      </c>
      <c r="D38" s="3">
        <v>25</v>
      </c>
      <c r="E38" s="3">
        <v>25</v>
      </c>
      <c r="F38" s="3">
        <v>25</v>
      </c>
      <c r="G38" t="s">
        <v>303</v>
      </c>
    </row>
    <row r="39" spans="2:7">
      <c r="B39" t="s">
        <v>1022</v>
      </c>
      <c r="C39" s="21">
        <f>C34*C36*(C37-C38)</f>
        <v>18.722221232642841</v>
      </c>
      <c r="D39" s="21">
        <f>D34*D36*(D37-D38)</f>
        <v>110.99781756430397</v>
      </c>
      <c r="E39" s="21">
        <f>E34*E36*(E37-E38)</f>
        <v>328.74222222222221</v>
      </c>
      <c r="F39" s="21">
        <f>F34*F36*(F37-F38)</f>
        <v>503.0960393477323</v>
      </c>
      <c r="G39" t="s">
        <v>1023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2951-6279-C747-9995-D816418717D6}">
  <dimension ref="C6:G16"/>
  <sheetViews>
    <sheetView workbookViewId="0">
      <selection activeCell="H28" sqref="H28"/>
    </sheetView>
  </sheetViews>
  <sheetFormatPr baseColWidth="10" defaultRowHeight="16"/>
  <sheetData>
    <row r="6" spans="3:7">
      <c r="C6" t="s">
        <v>1000</v>
      </c>
      <c r="G6" s="10" t="s">
        <v>1001</v>
      </c>
    </row>
    <row r="8" spans="3:7">
      <c r="C8" t="s">
        <v>952</v>
      </c>
      <c r="D8">
        <v>0.63</v>
      </c>
    </row>
    <row r="10" spans="3:7">
      <c r="C10" t="s">
        <v>953</v>
      </c>
      <c r="D10">
        <v>1.5</v>
      </c>
      <c r="E10" t="s">
        <v>377</v>
      </c>
    </row>
    <row r="11" spans="3:7">
      <c r="C11" t="s">
        <v>954</v>
      </c>
      <c r="D11">
        <v>7.8</v>
      </c>
      <c r="E11" t="s">
        <v>377</v>
      </c>
    </row>
    <row r="12" spans="3:7">
      <c r="C12" t="s">
        <v>948</v>
      </c>
      <c r="D12">
        <v>18.7</v>
      </c>
      <c r="E12" t="s">
        <v>377</v>
      </c>
    </row>
    <row r="14" spans="3:7">
      <c r="C14" t="s">
        <v>383</v>
      </c>
      <c r="D14" s="1">
        <f>(PI()*(D11^2)) - (PI()*(D10^2))</f>
        <v>184.06591357382595</v>
      </c>
      <c r="E14" t="s">
        <v>378</v>
      </c>
    </row>
    <row r="15" spans="3:7">
      <c r="C15" t="s">
        <v>357</v>
      </c>
      <c r="D15" s="2">
        <f>D14*D12</f>
        <v>3442.0325838305453</v>
      </c>
      <c r="E15" t="s">
        <v>951</v>
      </c>
    </row>
    <row r="16" spans="3:7">
      <c r="C16" t="s">
        <v>949</v>
      </c>
      <c r="D16" s="2">
        <f>D8*D15</f>
        <v>2168.4805278132435</v>
      </c>
      <c r="E16" t="s">
        <v>950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13C8F-9705-F246-8105-C31D60AD91CE}">
  <dimension ref="B4:W68"/>
  <sheetViews>
    <sheetView topLeftCell="A35" workbookViewId="0">
      <selection activeCell="U48" sqref="U48"/>
    </sheetView>
  </sheetViews>
  <sheetFormatPr baseColWidth="10" defaultRowHeight="16"/>
  <cols>
    <col min="1" max="1" width="4.33203125" customWidth="1"/>
    <col min="2" max="2" width="14.5" customWidth="1"/>
    <col min="5" max="5" width="13.33203125" customWidth="1"/>
  </cols>
  <sheetData>
    <row r="4" spans="3:4">
      <c r="C4" t="s">
        <v>731</v>
      </c>
    </row>
    <row r="5" spans="3:4">
      <c r="C5">
        <v>32</v>
      </c>
      <c r="D5" t="s">
        <v>722</v>
      </c>
    </row>
    <row r="6" spans="3:4">
      <c r="C6">
        <v>22.4</v>
      </c>
      <c r="D6" t="s">
        <v>723</v>
      </c>
    </row>
    <row r="7" spans="3:4">
      <c r="C7" s="1">
        <f>C5/C6</f>
        <v>1.4285714285714286</v>
      </c>
      <c r="D7" t="s">
        <v>719</v>
      </c>
    </row>
    <row r="9" spans="3:4">
      <c r="C9">
        <v>1.4291</v>
      </c>
    </row>
    <row r="11" spans="3:4">
      <c r="C11">
        <v>100</v>
      </c>
      <c r="D11" t="s">
        <v>236</v>
      </c>
    </row>
    <row r="12" spans="3:4">
      <c r="C12" s="2">
        <f>C11*C9*1440/1000</f>
        <v>205.79040000000001</v>
      </c>
      <c r="D12" t="s">
        <v>720</v>
      </c>
    </row>
    <row r="14" spans="3:4">
      <c r="C14" s="29">
        <f>1000/C12*C11</f>
        <v>485.93131652399722</v>
      </c>
      <c r="D14" t="s">
        <v>721</v>
      </c>
    </row>
    <row r="19" spans="3:13">
      <c r="C19" t="s">
        <v>730</v>
      </c>
    </row>
    <row r="21" spans="3:13">
      <c r="C21">
        <v>28</v>
      </c>
      <c r="D21" t="s">
        <v>722</v>
      </c>
    </row>
    <row r="22" spans="3:13">
      <c r="C22">
        <v>22.4</v>
      </c>
      <c r="D22" t="s">
        <v>723</v>
      </c>
    </row>
    <row r="23" spans="3:13">
      <c r="C23" s="1">
        <f>C21/C22</f>
        <v>1.25</v>
      </c>
      <c r="D23" t="s">
        <v>719</v>
      </c>
    </row>
    <row r="25" spans="3:13">
      <c r="D25" s="8" t="s">
        <v>822</v>
      </c>
      <c r="E25" s="8" t="s">
        <v>819</v>
      </c>
      <c r="F25" s="8" t="s">
        <v>820</v>
      </c>
      <c r="G25" s="8" t="s">
        <v>821</v>
      </c>
      <c r="K25" t="s">
        <v>1032</v>
      </c>
      <c r="L25">
        <v>1.5</v>
      </c>
      <c r="M25" t="s">
        <v>375</v>
      </c>
    </row>
    <row r="26" spans="3:13">
      <c r="C26" t="s">
        <v>817</v>
      </c>
      <c r="D26">
        <v>0</v>
      </c>
      <c r="E26">
        <v>0.65</v>
      </c>
      <c r="F26">
        <v>1.1000000000000001</v>
      </c>
      <c r="G26">
        <v>0.1</v>
      </c>
      <c r="H26" t="s">
        <v>814</v>
      </c>
    </row>
    <row r="27" spans="3:13">
      <c r="D27">
        <f>D26*$C21</f>
        <v>0</v>
      </c>
      <c r="E27">
        <f>E26*$C21</f>
        <v>18.2</v>
      </c>
      <c r="F27">
        <f>F26*$C21</f>
        <v>30.800000000000004</v>
      </c>
      <c r="G27">
        <f>G26*$C21</f>
        <v>2.8000000000000003</v>
      </c>
      <c r="H27" t="s">
        <v>818</v>
      </c>
    </row>
    <row r="28" spans="3:13">
      <c r="D28">
        <f>D27/$C23</f>
        <v>0</v>
      </c>
      <c r="E28">
        <f>E27/$C23</f>
        <v>14.559999999999999</v>
      </c>
      <c r="F28">
        <f>F27/$C23</f>
        <v>24.640000000000004</v>
      </c>
      <c r="G28">
        <f>G27/$C23</f>
        <v>2.2400000000000002</v>
      </c>
      <c r="H28" t="s">
        <v>815</v>
      </c>
    </row>
    <row r="29" spans="3:13">
      <c r="C29" t="s">
        <v>816</v>
      </c>
      <c r="D29">
        <v>1.4</v>
      </c>
      <c r="E29">
        <v>1.2</v>
      </c>
      <c r="F29">
        <v>1.4</v>
      </c>
      <c r="G29">
        <v>0.8</v>
      </c>
      <c r="H29" t="s">
        <v>814</v>
      </c>
    </row>
    <row r="30" spans="3:13">
      <c r="D30">
        <f>D29*$C21</f>
        <v>39.199999999999996</v>
      </c>
      <c r="E30">
        <f>E29*$C21</f>
        <v>33.6</v>
      </c>
      <c r="F30">
        <f>F29*$C21</f>
        <v>39.199999999999996</v>
      </c>
      <c r="G30">
        <f>G29*$C21</f>
        <v>22.400000000000002</v>
      </c>
      <c r="H30" t="s">
        <v>818</v>
      </c>
    </row>
    <row r="31" spans="3:13">
      <c r="D31">
        <f>D30/$C23</f>
        <v>31.359999999999996</v>
      </c>
      <c r="E31">
        <f>E30/$C23</f>
        <v>26.880000000000003</v>
      </c>
      <c r="F31">
        <f>F30/$C23</f>
        <v>31.359999999999996</v>
      </c>
      <c r="G31">
        <f>G30/$C23</f>
        <v>17.920000000000002</v>
      </c>
      <c r="H31" t="s">
        <v>815</v>
      </c>
    </row>
    <row r="34" spans="2:23">
      <c r="D34">
        <f>D31-D28</f>
        <v>31.359999999999996</v>
      </c>
      <c r="E34">
        <f>E31-E28</f>
        <v>12.320000000000004</v>
      </c>
      <c r="F34">
        <f>F31-F28</f>
        <v>6.7199999999999918</v>
      </c>
      <c r="G34">
        <f>G31-G28</f>
        <v>15.680000000000001</v>
      </c>
      <c r="H34" t="s">
        <v>736</v>
      </c>
    </row>
    <row r="39" spans="2:23">
      <c r="C39" s="143" t="s">
        <v>1096</v>
      </c>
      <c r="D39" s="143" t="s">
        <v>1097</v>
      </c>
      <c r="E39" s="3"/>
      <c r="F39" s="3" t="s">
        <v>1054</v>
      </c>
      <c r="G39" s="3" t="s">
        <v>1053</v>
      </c>
      <c r="H39" s="3" t="s">
        <v>1057</v>
      </c>
      <c r="I39" s="147" t="s">
        <v>1050</v>
      </c>
      <c r="J39" s="3" t="s">
        <v>1048</v>
      </c>
      <c r="K39" s="3" t="s">
        <v>1049</v>
      </c>
      <c r="L39" s="3" t="s">
        <v>1055</v>
      </c>
      <c r="M39" s="3" t="s">
        <v>1048</v>
      </c>
      <c r="N39" s="3" t="s">
        <v>1049</v>
      </c>
      <c r="O39" s="3" t="s">
        <v>1052</v>
      </c>
      <c r="P39" s="3" t="s">
        <v>1052</v>
      </c>
      <c r="Q39" s="3"/>
    </row>
    <row r="40" spans="2:23">
      <c r="B40" t="s">
        <v>1035</v>
      </c>
      <c r="C40" s="152">
        <v>2.5</v>
      </c>
      <c r="D40" s="152">
        <v>15</v>
      </c>
      <c r="E40" s="3" t="s">
        <v>5</v>
      </c>
      <c r="F40" s="3">
        <v>5</v>
      </c>
      <c r="G40" s="3">
        <v>3.89</v>
      </c>
      <c r="H40" s="3">
        <v>1.28</v>
      </c>
      <c r="I40" s="147">
        <v>2.56</v>
      </c>
      <c r="J40" s="3">
        <v>2.56</v>
      </c>
      <c r="K40" s="3">
        <v>2.56</v>
      </c>
      <c r="L40" s="3">
        <v>1.6</v>
      </c>
      <c r="M40" s="3">
        <v>0.7</v>
      </c>
      <c r="N40" s="3">
        <v>0.7</v>
      </c>
      <c r="O40" s="3">
        <v>0.55000000000000004</v>
      </c>
      <c r="P40" s="3">
        <v>0.55000000000000004</v>
      </c>
      <c r="Q40" s="3" t="s">
        <v>5</v>
      </c>
    </row>
    <row r="41" spans="2:23">
      <c r="B41" t="s">
        <v>1036</v>
      </c>
      <c r="C41" s="144">
        <f t="shared" ref="C41:D41" si="0">C40*$G34</f>
        <v>39.200000000000003</v>
      </c>
      <c r="D41" s="144">
        <f t="shared" si="0"/>
        <v>235.20000000000002</v>
      </c>
      <c r="E41" s="3" t="s">
        <v>355</v>
      </c>
      <c r="F41" s="5">
        <f t="shared" ref="F41:P41" si="1">F40*$G34</f>
        <v>78.400000000000006</v>
      </c>
      <c r="G41" s="5">
        <f t="shared" si="1"/>
        <v>60.995200000000011</v>
      </c>
      <c r="H41" s="5">
        <f t="shared" si="1"/>
        <v>20.070400000000003</v>
      </c>
      <c r="I41" s="148">
        <f t="shared" si="1"/>
        <v>40.140800000000006</v>
      </c>
      <c r="J41" s="5">
        <f t="shared" si="1"/>
        <v>40.140800000000006</v>
      </c>
      <c r="K41" s="5">
        <f t="shared" si="1"/>
        <v>40.140800000000006</v>
      </c>
      <c r="L41" s="5">
        <f t="shared" si="1"/>
        <v>25.088000000000005</v>
      </c>
      <c r="M41" s="5">
        <f t="shared" si="1"/>
        <v>10.976000000000001</v>
      </c>
      <c r="N41" s="5">
        <f t="shared" si="1"/>
        <v>10.976000000000001</v>
      </c>
      <c r="O41" s="5">
        <f t="shared" si="1"/>
        <v>8.6240000000000023</v>
      </c>
      <c r="P41" s="5">
        <f t="shared" si="1"/>
        <v>8.6240000000000023</v>
      </c>
      <c r="Q41" s="3" t="s">
        <v>355</v>
      </c>
    </row>
    <row r="42" spans="2:23">
      <c r="B42" t="s">
        <v>1037</v>
      </c>
      <c r="C42" s="152">
        <v>280</v>
      </c>
      <c r="D42" s="152">
        <v>1152</v>
      </c>
      <c r="E42" s="3" t="s">
        <v>17</v>
      </c>
      <c r="F42" s="3">
        <v>550</v>
      </c>
      <c r="G42" s="3">
        <v>550</v>
      </c>
      <c r="H42" s="3">
        <v>264</v>
      </c>
      <c r="I42" s="147">
        <v>264</v>
      </c>
      <c r="J42" s="3">
        <v>210</v>
      </c>
      <c r="K42" s="3">
        <v>192</v>
      </c>
      <c r="L42" s="3">
        <v>192</v>
      </c>
      <c r="M42" s="3">
        <v>85</v>
      </c>
      <c r="N42" s="3">
        <v>75</v>
      </c>
      <c r="O42" s="3">
        <v>100</v>
      </c>
      <c r="P42" s="3">
        <v>50</v>
      </c>
      <c r="Q42" s="3" t="s">
        <v>17</v>
      </c>
    </row>
    <row r="43" spans="2:23">
      <c r="B43" t="s">
        <v>1038</v>
      </c>
      <c r="C43" s="144">
        <f t="shared" ref="C43:D43" si="2">C42*0.79</f>
        <v>221.20000000000002</v>
      </c>
      <c r="D43" s="144">
        <f t="shared" si="2"/>
        <v>910.08</v>
      </c>
      <c r="E43" s="3" t="s">
        <v>17</v>
      </c>
      <c r="F43" s="5">
        <f t="shared" ref="F43:P43" si="3">F42*0.79</f>
        <v>434.5</v>
      </c>
      <c r="G43" s="5">
        <f t="shared" si="3"/>
        <v>434.5</v>
      </c>
      <c r="H43" s="5">
        <f t="shared" si="3"/>
        <v>208.56</v>
      </c>
      <c r="I43" s="148">
        <f t="shared" si="3"/>
        <v>208.56</v>
      </c>
      <c r="J43" s="5">
        <f t="shared" si="3"/>
        <v>165.9</v>
      </c>
      <c r="K43" s="5">
        <f t="shared" si="3"/>
        <v>151.68</v>
      </c>
      <c r="L43" s="5">
        <f t="shared" si="3"/>
        <v>151.68</v>
      </c>
      <c r="M43" s="5">
        <f t="shared" si="3"/>
        <v>67.150000000000006</v>
      </c>
      <c r="N43" s="5">
        <f t="shared" si="3"/>
        <v>59.25</v>
      </c>
      <c r="O43" s="5">
        <f t="shared" si="3"/>
        <v>79</v>
      </c>
      <c r="P43" s="5">
        <f t="shared" si="3"/>
        <v>39.5</v>
      </c>
      <c r="Q43" s="3" t="s">
        <v>17</v>
      </c>
    </row>
    <row r="44" spans="2:23">
      <c r="B44" t="s">
        <v>1039</v>
      </c>
      <c r="C44" s="145">
        <f t="shared" ref="C44:D44" si="4">C41/C43</f>
        <v>0.17721518987341772</v>
      </c>
      <c r="D44" s="145">
        <f t="shared" si="4"/>
        <v>0.25843881856540085</v>
      </c>
      <c r="E44" s="3" t="s">
        <v>1040</v>
      </c>
      <c r="F44" s="21">
        <f t="shared" ref="F44:P44" si="5">F41/F43</f>
        <v>0.18043728423475261</v>
      </c>
      <c r="G44" s="21">
        <f t="shared" si="5"/>
        <v>0.14038020713463753</v>
      </c>
      <c r="H44" s="21">
        <f t="shared" si="5"/>
        <v>9.6233218258534731E-2</v>
      </c>
      <c r="I44" s="82">
        <f t="shared" si="5"/>
        <v>0.19246643651706946</v>
      </c>
      <c r="J44" s="21">
        <f t="shared" si="5"/>
        <v>0.24195780590717303</v>
      </c>
      <c r="K44" s="21">
        <f t="shared" si="5"/>
        <v>0.26464135021097052</v>
      </c>
      <c r="L44" s="21">
        <f t="shared" si="5"/>
        <v>0.16540084388185655</v>
      </c>
      <c r="M44" s="21">
        <f t="shared" si="5"/>
        <v>0.16345495160089352</v>
      </c>
      <c r="N44" s="21">
        <f t="shared" si="5"/>
        <v>0.18524894514767934</v>
      </c>
      <c r="O44" s="21">
        <f t="shared" si="5"/>
        <v>0.10916455696202534</v>
      </c>
      <c r="P44" s="21">
        <f t="shared" si="5"/>
        <v>0.21832911392405069</v>
      </c>
      <c r="Q44" s="3" t="s">
        <v>1040</v>
      </c>
    </row>
    <row r="45" spans="2:23">
      <c r="C45" s="144">
        <f t="shared" ref="C45:D45" si="6">C44*60</f>
        <v>10.632911392405063</v>
      </c>
      <c r="D45" s="144">
        <f t="shared" si="6"/>
        <v>15.506329113924052</v>
      </c>
      <c r="E45" s="3" t="s">
        <v>1041</v>
      </c>
      <c r="F45" s="5">
        <f t="shared" ref="F45:P45" si="7">F44*60</f>
        <v>10.826237054085157</v>
      </c>
      <c r="G45" s="5">
        <f t="shared" si="7"/>
        <v>8.4228124280782524</v>
      </c>
      <c r="H45" s="5">
        <f t="shared" si="7"/>
        <v>5.7739930955120835</v>
      </c>
      <c r="I45" s="149">
        <f t="shared" si="7"/>
        <v>11.547986191024167</v>
      </c>
      <c r="J45" s="5">
        <f t="shared" si="7"/>
        <v>14.517468354430381</v>
      </c>
      <c r="K45" s="5">
        <f t="shared" si="7"/>
        <v>15.878481012658231</v>
      </c>
      <c r="L45" s="5">
        <f t="shared" si="7"/>
        <v>9.9240506329113938</v>
      </c>
      <c r="M45" s="5">
        <f t="shared" si="7"/>
        <v>9.8072970960536114</v>
      </c>
      <c r="N45" s="5">
        <f t="shared" si="7"/>
        <v>11.11493670886076</v>
      </c>
      <c r="O45" s="5">
        <f t="shared" si="7"/>
        <v>6.5498734177215203</v>
      </c>
      <c r="P45" s="5">
        <f t="shared" si="7"/>
        <v>13.099746835443041</v>
      </c>
      <c r="Q45" s="3" t="s">
        <v>1041</v>
      </c>
    </row>
    <row r="46" spans="2:23">
      <c r="B46" t="s">
        <v>1127</v>
      </c>
      <c r="C46" s="143">
        <v>0.9</v>
      </c>
      <c r="D46" s="143">
        <v>0.9</v>
      </c>
      <c r="E46" s="3"/>
      <c r="F46" s="3">
        <v>0.9</v>
      </c>
      <c r="G46" s="3">
        <v>0.9</v>
      </c>
      <c r="H46" s="3">
        <v>0.9</v>
      </c>
      <c r="I46" s="147">
        <v>0.9</v>
      </c>
      <c r="J46" s="3">
        <v>0.9</v>
      </c>
      <c r="K46" s="3">
        <v>0.9</v>
      </c>
      <c r="L46" s="3">
        <v>0.9</v>
      </c>
      <c r="M46" s="3">
        <v>0.9</v>
      </c>
      <c r="N46" s="3">
        <v>0.9</v>
      </c>
      <c r="O46" s="3">
        <v>0.9</v>
      </c>
      <c r="P46" s="3">
        <v>0.9</v>
      </c>
      <c r="Q46" s="3"/>
      <c r="U46" s="3" t="s">
        <v>1056</v>
      </c>
    </row>
    <row r="47" spans="2:23">
      <c r="B47" t="s">
        <v>1042</v>
      </c>
      <c r="C47" s="144">
        <f t="shared" ref="C47:D47" si="8">C41*0.21/0.79*C46</f>
        <v>9.3782278481012664</v>
      </c>
      <c r="D47" s="144">
        <f t="shared" si="8"/>
        <v>56.269367088607595</v>
      </c>
      <c r="E47" s="3" t="s">
        <v>355</v>
      </c>
      <c r="F47" s="5">
        <f>F41*0.21/0.79*F46</f>
        <v>18.756455696202533</v>
      </c>
      <c r="G47" s="5">
        <f t="shared" ref="G47" si="9">G41*0.21/0.79*G46</f>
        <v>14.592522531645571</v>
      </c>
      <c r="H47" s="5">
        <f t="shared" ref="H47:P47" si="10">H41*0.21/0.79*H46</f>
        <v>4.8016526582278489</v>
      </c>
      <c r="I47" s="148">
        <f t="shared" si="10"/>
        <v>9.6033053164556978</v>
      </c>
      <c r="J47" s="5">
        <f t="shared" si="10"/>
        <v>9.6033053164556978</v>
      </c>
      <c r="K47" s="5">
        <f t="shared" si="10"/>
        <v>9.6033053164556978</v>
      </c>
      <c r="L47" s="5">
        <f t="shared" si="10"/>
        <v>6.0020658227848118</v>
      </c>
      <c r="M47" s="5">
        <f t="shared" si="10"/>
        <v>2.6259037974683546</v>
      </c>
      <c r="N47" s="5">
        <f t="shared" si="10"/>
        <v>2.6259037974683546</v>
      </c>
      <c r="O47" s="5">
        <f t="shared" si="10"/>
        <v>2.0632101265822786</v>
      </c>
      <c r="P47" s="5">
        <f t="shared" si="10"/>
        <v>2.0632101265822786</v>
      </c>
      <c r="Q47" s="3" t="s">
        <v>355</v>
      </c>
      <c r="T47" t="s">
        <v>1035</v>
      </c>
      <c r="U47" s="3">
        <v>1.7</v>
      </c>
      <c r="V47" t="s">
        <v>5</v>
      </c>
    </row>
    <row r="48" spans="2:23">
      <c r="C48" s="143"/>
      <c r="D48" s="143"/>
      <c r="E48" s="3"/>
      <c r="F48" s="3"/>
      <c r="G48" s="3"/>
      <c r="H48" s="3"/>
      <c r="I48" s="147"/>
      <c r="J48" s="3"/>
      <c r="K48" s="3"/>
      <c r="L48" s="3"/>
      <c r="M48" s="3"/>
      <c r="N48" s="3"/>
      <c r="O48" s="3"/>
      <c r="P48" s="3"/>
      <c r="Q48" s="3"/>
      <c r="T48" t="s">
        <v>1036</v>
      </c>
      <c r="U48" s="5">
        <f>U47*$E34</f>
        <v>20.944000000000006</v>
      </c>
      <c r="V48" t="s">
        <v>355</v>
      </c>
      <c r="W48" t="s">
        <v>1056</v>
      </c>
    </row>
    <row r="49" spans="2:22">
      <c r="C49" s="143"/>
      <c r="D49" s="143"/>
      <c r="E49" s="3"/>
      <c r="F49" s="3"/>
      <c r="G49" s="3"/>
      <c r="H49" s="3"/>
      <c r="I49" s="147"/>
      <c r="J49" s="3"/>
      <c r="K49" s="3"/>
      <c r="L49" s="3"/>
      <c r="M49" s="3"/>
      <c r="N49" s="3"/>
      <c r="O49" s="3"/>
      <c r="P49" s="3"/>
      <c r="Q49" s="3"/>
      <c r="T49" t="s">
        <v>1037</v>
      </c>
      <c r="U49" s="3">
        <v>160</v>
      </c>
      <c r="V49" t="s">
        <v>17</v>
      </c>
    </row>
    <row r="50" spans="2:22">
      <c r="B50" t="s">
        <v>1043</v>
      </c>
      <c r="C50" s="152">
        <f>C42*0.8</f>
        <v>224</v>
      </c>
      <c r="D50" s="152">
        <f>D42*0.8</f>
        <v>921.6</v>
      </c>
      <c r="E50" s="3" t="s">
        <v>1044</v>
      </c>
      <c r="F50" s="3">
        <v>425</v>
      </c>
      <c r="G50" s="3">
        <v>425</v>
      </c>
      <c r="H50" s="3">
        <v>230</v>
      </c>
      <c r="I50" s="147">
        <v>230</v>
      </c>
      <c r="J50" s="3">
        <v>180</v>
      </c>
      <c r="K50" s="3">
        <v>150</v>
      </c>
      <c r="L50" s="3">
        <v>150</v>
      </c>
      <c r="M50" s="3">
        <v>120</v>
      </c>
      <c r="N50" s="3">
        <v>60</v>
      </c>
      <c r="O50" s="3">
        <v>80</v>
      </c>
      <c r="P50" s="3">
        <v>50</v>
      </c>
      <c r="Q50" s="3" t="s">
        <v>1044</v>
      </c>
      <c r="T50" t="s">
        <v>1038</v>
      </c>
      <c r="U50" s="5">
        <f>U49*0.79</f>
        <v>126.4</v>
      </c>
      <c r="V50" t="s">
        <v>17</v>
      </c>
    </row>
    <row r="51" spans="2:22">
      <c r="B51" t="s">
        <v>1045</v>
      </c>
      <c r="C51" s="145">
        <f t="shared" ref="C51:D51" si="11">C41/C50</f>
        <v>0.17500000000000002</v>
      </c>
      <c r="D51" s="145">
        <f t="shared" si="11"/>
        <v>0.25520833333333337</v>
      </c>
      <c r="E51" s="3" t="s">
        <v>1040</v>
      </c>
      <c r="F51" s="21">
        <f t="shared" ref="F51:P51" si="12">F41/F50</f>
        <v>0.18447058823529414</v>
      </c>
      <c r="G51" s="21">
        <f t="shared" si="12"/>
        <v>0.14351811764705885</v>
      </c>
      <c r="H51" s="21">
        <f t="shared" si="12"/>
        <v>8.726260869565218E-2</v>
      </c>
      <c r="I51" s="82">
        <f t="shared" si="12"/>
        <v>0.17452521739130436</v>
      </c>
      <c r="J51" s="21">
        <f t="shared" si="12"/>
        <v>0.22300444444444448</v>
      </c>
      <c r="K51" s="21">
        <f t="shared" si="12"/>
        <v>0.26760533333333336</v>
      </c>
      <c r="L51" s="21">
        <f t="shared" si="12"/>
        <v>0.16725333333333336</v>
      </c>
      <c r="M51" s="21">
        <f t="shared" si="12"/>
        <v>9.1466666666666668E-2</v>
      </c>
      <c r="N51" s="21">
        <f t="shared" si="12"/>
        <v>0.18293333333333334</v>
      </c>
      <c r="O51" s="21">
        <f t="shared" si="12"/>
        <v>0.10780000000000003</v>
      </c>
      <c r="P51" s="21">
        <f t="shared" si="12"/>
        <v>0.17248000000000005</v>
      </c>
      <c r="Q51" s="3" t="s">
        <v>1040</v>
      </c>
      <c r="T51" t="s">
        <v>1039</v>
      </c>
      <c r="U51" s="21">
        <f>U48/U50</f>
        <v>0.1656962025316456</v>
      </c>
      <c r="V51" t="s">
        <v>1040</v>
      </c>
    </row>
    <row r="52" spans="2:22">
      <c r="C52" s="144">
        <f t="shared" ref="C52:D52" si="13">C51*60</f>
        <v>10.500000000000002</v>
      </c>
      <c r="D52" s="144">
        <f t="shared" si="13"/>
        <v>15.312500000000002</v>
      </c>
      <c r="E52" s="3" t="s">
        <v>1041</v>
      </c>
      <c r="F52" s="5">
        <f t="shared" ref="F52:P52" si="14">F51*60</f>
        <v>11.068235294117649</v>
      </c>
      <c r="G52" s="5">
        <f t="shared" si="14"/>
        <v>8.6110870588235304</v>
      </c>
      <c r="H52" s="5">
        <f t="shared" si="14"/>
        <v>5.2357565217391304</v>
      </c>
      <c r="I52" s="149">
        <f t="shared" si="14"/>
        <v>10.471513043478261</v>
      </c>
      <c r="J52" s="5">
        <f t="shared" si="14"/>
        <v>13.380266666666669</v>
      </c>
      <c r="K52" s="5">
        <f t="shared" si="14"/>
        <v>16.056320000000003</v>
      </c>
      <c r="L52" s="5">
        <f t="shared" si="14"/>
        <v>10.035200000000001</v>
      </c>
      <c r="M52" s="5">
        <f t="shared" si="14"/>
        <v>5.4880000000000004</v>
      </c>
      <c r="N52" s="5">
        <f t="shared" si="14"/>
        <v>10.976000000000001</v>
      </c>
      <c r="O52" s="5">
        <f t="shared" si="14"/>
        <v>6.4680000000000017</v>
      </c>
      <c r="P52" s="5">
        <f t="shared" si="14"/>
        <v>10.348800000000002</v>
      </c>
      <c r="Q52" s="3" t="s">
        <v>1041</v>
      </c>
      <c r="U52" s="5">
        <f>U51*60</f>
        <v>9.9417721518987356</v>
      </c>
      <c r="V52" t="s">
        <v>1041</v>
      </c>
    </row>
    <row r="53" spans="2:22">
      <c r="C53" s="143"/>
      <c r="D53" s="143"/>
      <c r="E53" s="3"/>
      <c r="F53" s="3"/>
      <c r="G53" s="3"/>
      <c r="H53" s="3"/>
      <c r="I53" s="147"/>
      <c r="J53" s="3"/>
      <c r="K53" s="3"/>
      <c r="L53" s="3"/>
      <c r="M53" s="3"/>
      <c r="N53" s="3"/>
      <c r="O53" s="3"/>
      <c r="P53" s="3"/>
      <c r="Q53" s="3"/>
      <c r="T53" t="s">
        <v>873</v>
      </c>
      <c r="U53" s="3">
        <v>0.6</v>
      </c>
    </row>
    <row r="54" spans="2:22">
      <c r="B54" t="s">
        <v>1046</v>
      </c>
      <c r="C54" s="145">
        <f t="shared" ref="C54:D54" si="15">C44+C51</f>
        <v>0.35221518987341771</v>
      </c>
      <c r="D54" s="145">
        <f t="shared" si="15"/>
        <v>0.51364715189873422</v>
      </c>
      <c r="E54" s="3" t="s">
        <v>1040</v>
      </c>
      <c r="F54" s="21">
        <f t="shared" ref="F54:P54" si="16">F44+F51</f>
        <v>0.36490787247004675</v>
      </c>
      <c r="G54" s="21">
        <f t="shared" si="16"/>
        <v>0.28389832478169641</v>
      </c>
      <c r="H54" s="21">
        <f t="shared" si="16"/>
        <v>0.18349582695418692</v>
      </c>
      <c r="I54" s="82">
        <f t="shared" si="16"/>
        <v>0.36699165390837385</v>
      </c>
      <c r="J54" s="21">
        <f t="shared" si="16"/>
        <v>0.46496225035161753</v>
      </c>
      <c r="K54" s="21">
        <f t="shared" si="16"/>
        <v>0.53224668354430382</v>
      </c>
      <c r="L54" s="21">
        <f t="shared" si="16"/>
        <v>0.33265417721518992</v>
      </c>
      <c r="M54" s="21">
        <f t="shared" si="16"/>
        <v>0.25492161826756021</v>
      </c>
      <c r="N54" s="21">
        <f t="shared" si="16"/>
        <v>0.3681822784810127</v>
      </c>
      <c r="O54" s="21">
        <f t="shared" si="16"/>
        <v>0.21696455696202538</v>
      </c>
      <c r="P54" s="21">
        <f t="shared" si="16"/>
        <v>0.39080911392405071</v>
      </c>
      <c r="Q54" s="3" t="s">
        <v>1040</v>
      </c>
      <c r="T54" t="s">
        <v>1042</v>
      </c>
      <c r="U54" s="5">
        <f>U48*0.21/0.79*U53</f>
        <v>3.340435443037975</v>
      </c>
      <c r="V54" t="s">
        <v>355</v>
      </c>
    </row>
    <row r="55" spans="2:22">
      <c r="C55" s="144">
        <f t="shared" ref="C55:D55" si="17">C54*60</f>
        <v>21.132911392405063</v>
      </c>
      <c r="D55" s="144">
        <f t="shared" si="17"/>
        <v>30.818829113924053</v>
      </c>
      <c r="E55" s="3" t="s">
        <v>1041</v>
      </c>
      <c r="F55" s="5">
        <f t="shared" ref="F55:P55" si="18">F54*60</f>
        <v>21.894472348202804</v>
      </c>
      <c r="G55" s="5">
        <f t="shared" si="18"/>
        <v>17.033899486901785</v>
      </c>
      <c r="H55" s="5">
        <f t="shared" si="18"/>
        <v>11.009749617251215</v>
      </c>
      <c r="I55" s="149">
        <f t="shared" si="18"/>
        <v>22.01949923450243</v>
      </c>
      <c r="J55" s="5">
        <f t="shared" si="18"/>
        <v>27.897735021097052</v>
      </c>
      <c r="K55" s="5">
        <f t="shared" si="18"/>
        <v>31.93480101265823</v>
      </c>
      <c r="L55" s="5">
        <f t="shared" si="18"/>
        <v>19.959250632911395</v>
      </c>
      <c r="M55" s="5">
        <f t="shared" si="18"/>
        <v>15.295297096053613</v>
      </c>
      <c r="N55" s="5">
        <f t="shared" si="18"/>
        <v>22.090936708860763</v>
      </c>
      <c r="O55" s="5">
        <f t="shared" si="18"/>
        <v>13.017873417721523</v>
      </c>
      <c r="P55" s="5">
        <f t="shared" si="18"/>
        <v>23.448546835443043</v>
      </c>
      <c r="Q55" s="3" t="s">
        <v>1041</v>
      </c>
      <c r="T55" t="s">
        <v>1046</v>
      </c>
      <c r="U55" s="21">
        <f>U51</f>
        <v>0.1656962025316456</v>
      </c>
      <c r="V55" t="s">
        <v>1040</v>
      </c>
    </row>
    <row r="56" spans="2:22">
      <c r="C56" s="143"/>
      <c r="D56" s="143"/>
      <c r="E56" s="3"/>
      <c r="F56" s="3"/>
      <c r="G56" s="3"/>
      <c r="H56" s="3"/>
      <c r="I56" s="147"/>
      <c r="J56" s="3"/>
      <c r="K56" s="3"/>
      <c r="L56" s="3"/>
      <c r="M56" s="3"/>
      <c r="N56" s="3"/>
      <c r="O56" s="3"/>
      <c r="P56" s="3"/>
      <c r="Q56" s="3"/>
      <c r="U56" s="5">
        <f>U55*60</f>
        <v>9.9417721518987356</v>
      </c>
      <c r="V56" t="s">
        <v>1041</v>
      </c>
    </row>
    <row r="57" spans="2:22">
      <c r="B57" t="s">
        <v>1047</v>
      </c>
      <c r="C57" s="144">
        <f t="shared" ref="C57:D57" si="19">C47/C54</f>
        <v>26.626415094339624</v>
      </c>
      <c r="D57" s="144">
        <f t="shared" si="19"/>
        <v>109.54867924528301</v>
      </c>
      <c r="E57" s="3" t="s">
        <v>17</v>
      </c>
      <c r="F57" s="5">
        <f t="shared" ref="F57:P57" si="20">F47/F54</f>
        <v>51.400523560209422</v>
      </c>
      <c r="G57" s="5">
        <f t="shared" si="20"/>
        <v>51.400523560209415</v>
      </c>
      <c r="H57" s="5">
        <f t="shared" si="20"/>
        <v>26.16763954761036</v>
      </c>
      <c r="I57" s="148">
        <f t="shared" si="20"/>
        <v>26.16763954761036</v>
      </c>
      <c r="J57" s="5">
        <f t="shared" si="20"/>
        <v>20.653946227233305</v>
      </c>
      <c r="K57" s="5">
        <f t="shared" si="20"/>
        <v>18.042959427207638</v>
      </c>
      <c r="L57" s="5">
        <f t="shared" si="20"/>
        <v>18.042959427207641</v>
      </c>
      <c r="M57" s="5">
        <f t="shared" si="20"/>
        <v>10.300828212663639</v>
      </c>
      <c r="N57" s="5">
        <f t="shared" si="20"/>
        <v>7.132075471698113</v>
      </c>
      <c r="O57" s="5">
        <f t="shared" si="20"/>
        <v>9.5094339622641488</v>
      </c>
      <c r="P57" s="5">
        <f t="shared" si="20"/>
        <v>5.2793296089385473</v>
      </c>
      <c r="Q57" s="3" t="s">
        <v>17</v>
      </c>
      <c r="U57" s="3"/>
    </row>
    <row r="58" spans="2:22">
      <c r="C58" s="107"/>
      <c r="D58" s="10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T58" t="s">
        <v>1047</v>
      </c>
      <c r="U58" s="5">
        <f>U54/U55</f>
        <v>20.159999999999997</v>
      </c>
      <c r="V58" t="s">
        <v>17</v>
      </c>
    </row>
    <row r="59" spans="2:22">
      <c r="B59" t="s">
        <v>1071</v>
      </c>
      <c r="C59" s="150">
        <v>0.5</v>
      </c>
      <c r="D59" s="150">
        <v>0.5</v>
      </c>
      <c r="E59" s="3"/>
      <c r="F59" s="151">
        <v>0.5</v>
      </c>
      <c r="G59" s="151">
        <v>0.5</v>
      </c>
      <c r="H59" s="151">
        <v>0.5</v>
      </c>
      <c r="I59" s="151">
        <v>0.5</v>
      </c>
      <c r="J59" s="151">
        <v>0.5</v>
      </c>
      <c r="K59" s="151">
        <v>0.5</v>
      </c>
      <c r="L59" s="151">
        <v>0.5</v>
      </c>
      <c r="M59" s="151">
        <v>0.5</v>
      </c>
      <c r="N59" s="151">
        <v>0.5</v>
      </c>
      <c r="O59" s="151">
        <v>0.5</v>
      </c>
      <c r="P59" s="151">
        <v>0.5</v>
      </c>
      <c r="Q59" s="3"/>
    </row>
    <row r="60" spans="2:22">
      <c r="B60" t="s">
        <v>1072</v>
      </c>
      <c r="C60" s="145">
        <f t="shared" ref="C60:D60" si="21">C59*C44</f>
        <v>8.8607594936708861E-2</v>
      </c>
      <c r="D60" s="145">
        <f t="shared" si="21"/>
        <v>0.12921940928270043</v>
      </c>
      <c r="E60" s="3"/>
      <c r="F60" s="21">
        <f>F59*F44</f>
        <v>9.0218642117376305E-2</v>
      </c>
      <c r="G60" s="21">
        <f t="shared" ref="G60:P60" si="22">G59*G44</f>
        <v>7.0190103567318765E-2</v>
      </c>
      <c r="H60" s="21">
        <f t="shared" si="22"/>
        <v>4.8116609129267365E-2</v>
      </c>
      <c r="I60" s="21">
        <f t="shared" si="22"/>
        <v>9.6233218258534731E-2</v>
      </c>
      <c r="J60" s="21">
        <f t="shared" si="22"/>
        <v>0.12097890295358651</v>
      </c>
      <c r="K60" s="21">
        <f t="shared" si="22"/>
        <v>0.13232067510548526</v>
      </c>
      <c r="L60" s="21">
        <f t="shared" si="22"/>
        <v>8.2700421940928276E-2</v>
      </c>
      <c r="M60" s="21">
        <f t="shared" si="22"/>
        <v>8.1727475800446758E-2</v>
      </c>
      <c r="N60" s="21">
        <f t="shared" si="22"/>
        <v>9.262447257383967E-2</v>
      </c>
      <c r="O60" s="21">
        <f t="shared" si="22"/>
        <v>5.4582278481012672E-2</v>
      </c>
      <c r="P60" s="21">
        <f t="shared" si="22"/>
        <v>0.10916455696202534</v>
      </c>
      <c r="Q60" s="3"/>
    </row>
    <row r="61" spans="2:22">
      <c r="B61" t="s">
        <v>1070</v>
      </c>
      <c r="C61" s="144">
        <f t="shared" ref="C61:D61" si="23">C57*(C54-C60)</f>
        <v>7.0189252448053487</v>
      </c>
      <c r="D61" s="144">
        <f t="shared" si="23"/>
        <v>42.1135514688321</v>
      </c>
      <c r="E61" s="3" t="s">
        <v>0</v>
      </c>
      <c r="F61" s="5">
        <f t="shared" ref="F61:P61" si="24">F57*(F54-F60)</f>
        <v>14.119170256478231</v>
      </c>
      <c r="G61" s="5">
        <f t="shared" si="24"/>
        <v>10.984714459540065</v>
      </c>
      <c r="H61" s="5">
        <f t="shared" si="24"/>
        <v>3.5425545742799227</v>
      </c>
      <c r="I61" s="5">
        <f t="shared" si="24"/>
        <v>7.0851091485598454</v>
      </c>
      <c r="J61" s="5">
        <f t="shared" si="24"/>
        <v>7.1046135602226466</v>
      </c>
      <c r="K61" s="5">
        <f t="shared" si="24"/>
        <v>7.2158487441467019</v>
      </c>
      <c r="L61" s="5">
        <f t="shared" si="24"/>
        <v>4.5099054650916912</v>
      </c>
      <c r="M61" s="5">
        <f t="shared" si="24"/>
        <v>1.784043108993328</v>
      </c>
      <c r="N61" s="5">
        <f t="shared" si="24"/>
        <v>1.9652990685454983</v>
      </c>
      <c r="O61" s="5">
        <f t="shared" si="24"/>
        <v>1.5441635538571772</v>
      </c>
      <c r="P61" s="5">
        <f t="shared" si="24"/>
        <v>1.4868944487659999</v>
      </c>
      <c r="Q61" s="3" t="s">
        <v>0</v>
      </c>
    </row>
    <row r="65" spans="2:17">
      <c r="B65" t="s">
        <v>1128</v>
      </c>
      <c r="C65" s="2">
        <f>2.875*2.54</f>
        <v>7.3025000000000002</v>
      </c>
      <c r="D65" s="2">
        <f>5.875*2.54</f>
        <v>14.922499999999999</v>
      </c>
      <c r="E65" t="s">
        <v>315</v>
      </c>
      <c r="F65" s="2">
        <f>5.875*2.54</f>
        <v>14.922499999999999</v>
      </c>
      <c r="G65" s="2">
        <f>3.875*2.54</f>
        <v>9.8424999999999994</v>
      </c>
      <c r="H65" s="2">
        <f t="shared" ref="H65:L65" si="25">2.875*2.54</f>
        <v>7.3025000000000002</v>
      </c>
      <c r="I65" s="2">
        <f t="shared" si="25"/>
        <v>7.3025000000000002</v>
      </c>
      <c r="J65" s="2">
        <f t="shared" si="25"/>
        <v>7.3025000000000002</v>
      </c>
      <c r="K65" s="2">
        <f t="shared" si="25"/>
        <v>7.3025000000000002</v>
      </c>
      <c r="L65" s="2">
        <f t="shared" si="25"/>
        <v>7.3025000000000002</v>
      </c>
      <c r="M65" s="2">
        <f>1.875*2.54</f>
        <v>4.7625000000000002</v>
      </c>
      <c r="N65" s="2">
        <f>1.875*2.54</f>
        <v>4.7625000000000002</v>
      </c>
      <c r="O65" s="2">
        <f>1.875*2.54</f>
        <v>4.7625000000000002</v>
      </c>
      <c r="P65" s="2">
        <f>1.875*2.54</f>
        <v>4.7625000000000002</v>
      </c>
      <c r="Q65" t="s">
        <v>315</v>
      </c>
    </row>
    <row r="66" spans="2:17">
      <c r="B66" t="s">
        <v>1129</v>
      </c>
      <c r="C66" s="2">
        <f>PI() * (C65/2)^2</f>
        <v>41.882540069152547</v>
      </c>
      <c r="D66" s="2">
        <f>PI() * (D65/2)^2</f>
        <v>174.89325333224571</v>
      </c>
      <c r="E66" t="s">
        <v>378</v>
      </c>
      <c r="F66" s="2">
        <f>PI() * (F65/2)^2</f>
        <v>174.89325333224571</v>
      </c>
      <c r="G66" s="2">
        <f t="shared" ref="G66:P66" si="26">PI() * (G65/2)^2</f>
        <v>76.085294908233635</v>
      </c>
      <c r="H66" s="2">
        <f t="shared" si="26"/>
        <v>41.882540069152547</v>
      </c>
      <c r="I66" s="2">
        <f t="shared" si="26"/>
        <v>41.882540069152547</v>
      </c>
      <c r="J66" s="2">
        <f t="shared" si="26"/>
        <v>41.882540069152547</v>
      </c>
      <c r="K66" s="2">
        <f t="shared" si="26"/>
        <v>41.882540069152547</v>
      </c>
      <c r="L66" s="2">
        <f t="shared" si="26"/>
        <v>41.882540069152547</v>
      </c>
      <c r="M66" s="2">
        <f t="shared" si="26"/>
        <v>17.813934812021404</v>
      </c>
      <c r="N66" s="2">
        <f t="shared" si="26"/>
        <v>17.813934812021404</v>
      </c>
      <c r="O66" s="2">
        <f t="shared" si="26"/>
        <v>17.813934812021404</v>
      </c>
      <c r="P66" s="2">
        <f t="shared" si="26"/>
        <v>17.813934812021404</v>
      </c>
      <c r="Q66" t="s">
        <v>378</v>
      </c>
    </row>
    <row r="67" spans="2:17">
      <c r="B67" t="s">
        <v>1125</v>
      </c>
      <c r="C67" s="22">
        <f>C42/($L25+1)/C66</f>
        <v>2.6741453554410985</v>
      </c>
      <c r="D67" s="22">
        <f t="shared" ref="D67:P67" si="27">D42/($L25+1)/D66</f>
        <v>2.6347500044762482</v>
      </c>
      <c r="E67" t="s">
        <v>1126</v>
      </c>
      <c r="F67" s="22">
        <f t="shared" si="27"/>
        <v>1.2579101583870977</v>
      </c>
      <c r="G67" s="22">
        <f t="shared" si="27"/>
        <v>2.8914917168336101</v>
      </c>
      <c r="H67" s="22">
        <f t="shared" si="27"/>
        <v>2.5213370494158931</v>
      </c>
      <c r="I67" s="22">
        <f t="shared" si="27"/>
        <v>2.5213370494158931</v>
      </c>
      <c r="J67" s="22">
        <f t="shared" si="27"/>
        <v>2.005609016580824</v>
      </c>
      <c r="K67" s="22">
        <f t="shared" si="27"/>
        <v>1.8336996723024677</v>
      </c>
      <c r="L67" s="22">
        <f t="shared" si="27"/>
        <v>1.8336996723024677</v>
      </c>
      <c r="M67" s="22">
        <f t="shared" si="27"/>
        <v>1.9086181890064922</v>
      </c>
      <c r="N67" s="22">
        <f t="shared" si="27"/>
        <v>1.6840748726527872</v>
      </c>
      <c r="O67" s="22">
        <f t="shared" si="27"/>
        <v>2.2454331635370495</v>
      </c>
      <c r="P67" s="22">
        <f t="shared" si="27"/>
        <v>1.1227165817685247</v>
      </c>
      <c r="Q67" t="s">
        <v>1126</v>
      </c>
    </row>
    <row r="68" spans="2:17">
      <c r="B68" t="s">
        <v>1125</v>
      </c>
      <c r="C68" s="22">
        <f>C67/60* 10</f>
        <v>0.44569089257351641</v>
      </c>
      <c r="D68" s="22">
        <f t="shared" ref="D68:P68" si="28">D67/60* 10</f>
        <v>0.43912500074604133</v>
      </c>
      <c r="E68" t="s">
        <v>334</v>
      </c>
      <c r="F68" s="22">
        <f t="shared" si="28"/>
        <v>0.20965169306451631</v>
      </c>
      <c r="G68" s="22">
        <f t="shared" si="28"/>
        <v>0.48191528613893503</v>
      </c>
      <c r="H68" s="22">
        <f t="shared" si="28"/>
        <v>0.4202228415693155</v>
      </c>
      <c r="I68" s="22">
        <f t="shared" si="28"/>
        <v>0.4202228415693155</v>
      </c>
      <c r="J68" s="22">
        <f t="shared" si="28"/>
        <v>0.33426816943013737</v>
      </c>
      <c r="K68" s="22">
        <f t="shared" si="28"/>
        <v>0.30561661205041124</v>
      </c>
      <c r="L68" s="22">
        <f t="shared" si="28"/>
        <v>0.30561661205041124</v>
      </c>
      <c r="M68" s="22">
        <f t="shared" si="28"/>
        <v>0.31810303150108199</v>
      </c>
      <c r="N68" s="22">
        <f t="shared" si="28"/>
        <v>0.28067914544213124</v>
      </c>
      <c r="O68" s="22">
        <f t="shared" si="28"/>
        <v>0.37423886058950828</v>
      </c>
      <c r="P68" s="22">
        <f t="shared" si="28"/>
        <v>0.18711943029475414</v>
      </c>
      <c r="Q68" t="s">
        <v>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B0EC-6744-8946-9D07-7CAD019B1738}">
  <dimension ref="B4:I37"/>
  <sheetViews>
    <sheetView topLeftCell="A11" workbookViewId="0">
      <selection activeCell="F35" sqref="F35"/>
    </sheetView>
  </sheetViews>
  <sheetFormatPr baseColWidth="10" defaultRowHeight="16"/>
  <cols>
    <col min="2" max="2" width="12.33203125" customWidth="1"/>
    <col min="8" max="8" width="14.5" customWidth="1"/>
  </cols>
  <sheetData>
    <row r="4" spans="2:8">
      <c r="F4" t="s">
        <v>778</v>
      </c>
    </row>
    <row r="5" spans="2:8">
      <c r="B5" t="s">
        <v>730</v>
      </c>
      <c r="C5">
        <v>0.78</v>
      </c>
      <c r="F5" t="s">
        <v>744</v>
      </c>
      <c r="G5">
        <v>0.79</v>
      </c>
      <c r="H5" t="s">
        <v>779</v>
      </c>
    </row>
    <row r="6" spans="2:8">
      <c r="B6" t="s">
        <v>731</v>
      </c>
      <c r="C6">
        <v>0.20899999999999999</v>
      </c>
      <c r="D6" s="75">
        <f>C6*D$10</f>
        <v>0.95000000000000007</v>
      </c>
      <c r="F6" t="s">
        <v>745</v>
      </c>
      <c r="G6">
        <v>0.21</v>
      </c>
      <c r="H6" t="s">
        <v>761</v>
      </c>
    </row>
    <row r="7" spans="2:8">
      <c r="B7" t="s">
        <v>732</v>
      </c>
      <c r="C7">
        <v>8.9999999999999993E-3</v>
      </c>
      <c r="D7" s="75">
        <f t="shared" ref="D7:D8" si="0">C7*D$10</f>
        <v>4.0909090909090909E-2</v>
      </c>
    </row>
    <row r="8" spans="2:8">
      <c r="B8" t="s">
        <v>733</v>
      </c>
      <c r="C8">
        <v>2E-3</v>
      </c>
      <c r="D8" s="75">
        <f t="shared" si="0"/>
        <v>9.0909090909090922E-3</v>
      </c>
      <c r="G8" s="76">
        <f>C6*D6</f>
        <v>0.19855</v>
      </c>
      <c r="H8" t="s">
        <v>762</v>
      </c>
    </row>
    <row r="9" spans="2:8">
      <c r="C9">
        <f>SUM(C5:C8)</f>
        <v>1</v>
      </c>
      <c r="D9">
        <f>SUM(C6:C8)</f>
        <v>0.22</v>
      </c>
      <c r="G9" s="76">
        <f>G6-G8</f>
        <v>1.1449999999999988E-2</v>
      </c>
      <c r="H9" t="s">
        <v>763</v>
      </c>
    </row>
    <row r="10" spans="2:8">
      <c r="D10" s="1">
        <f>C9/D9</f>
        <v>4.5454545454545459</v>
      </c>
      <c r="E10" t="s">
        <v>748</v>
      </c>
    </row>
    <row r="13" spans="2:8">
      <c r="B13" t="s">
        <v>753</v>
      </c>
      <c r="C13">
        <v>22</v>
      </c>
      <c r="D13" t="s">
        <v>736</v>
      </c>
      <c r="E13" t="s">
        <v>754</v>
      </c>
    </row>
    <row r="14" spans="2:8">
      <c r="B14" t="s">
        <v>737</v>
      </c>
      <c r="C14">
        <v>0.72</v>
      </c>
      <c r="E14" t="s">
        <v>755</v>
      </c>
    </row>
    <row r="15" spans="2:8">
      <c r="B15" t="s">
        <v>738</v>
      </c>
      <c r="C15">
        <f>C13*C14</f>
        <v>15.84</v>
      </c>
      <c r="D15" t="s">
        <v>736</v>
      </c>
      <c r="E15" t="s">
        <v>749</v>
      </c>
    </row>
    <row r="17" spans="2:9">
      <c r="B17" t="s">
        <v>739</v>
      </c>
      <c r="C17">
        <v>1.8</v>
      </c>
      <c r="D17" t="s">
        <v>5</v>
      </c>
    </row>
    <row r="18" spans="2:9">
      <c r="B18" t="s">
        <v>740</v>
      </c>
      <c r="C18">
        <f>C15*C17</f>
        <v>28.512</v>
      </c>
      <c r="D18" t="s">
        <v>355</v>
      </c>
      <c r="E18" t="s">
        <v>750</v>
      </c>
    </row>
    <row r="20" spans="2:9">
      <c r="B20" t="s">
        <v>742</v>
      </c>
      <c r="C20">
        <v>20</v>
      </c>
      <c r="D20" t="s">
        <v>17</v>
      </c>
    </row>
    <row r="21" spans="2:9">
      <c r="B21" t="s">
        <v>743</v>
      </c>
      <c r="C21">
        <v>0.6</v>
      </c>
      <c r="E21" t="s">
        <v>751</v>
      </c>
    </row>
    <row r="22" spans="2:9">
      <c r="B22" t="s">
        <v>741</v>
      </c>
      <c r="C22" s="2">
        <f>C20/C21/(1-G5)</f>
        <v>158.73015873015876</v>
      </c>
      <c r="D22" t="s">
        <v>17</v>
      </c>
      <c r="E22" t="s">
        <v>759</v>
      </c>
    </row>
    <row r="23" spans="2:9">
      <c r="B23" t="s">
        <v>756</v>
      </c>
      <c r="C23" s="2">
        <f>C22*(C28/60)</f>
        <v>36.09113924050633</v>
      </c>
      <c r="D23" t="s">
        <v>757</v>
      </c>
      <c r="E23" t="s">
        <v>758</v>
      </c>
    </row>
    <row r="24" spans="2:9">
      <c r="B24" t="s">
        <v>771</v>
      </c>
      <c r="C24" s="2">
        <f>C20*(C28/60)</f>
        <v>4.5474835443037964</v>
      </c>
      <c r="D24" t="s">
        <v>355</v>
      </c>
      <c r="E24" t="s">
        <v>777</v>
      </c>
    </row>
    <row r="25" spans="2:9">
      <c r="B25" t="s">
        <v>772</v>
      </c>
      <c r="C25" s="2">
        <f>C24/C21-C24</f>
        <v>3.0316556962025309</v>
      </c>
      <c r="D25" t="s">
        <v>355</v>
      </c>
      <c r="E25" t="s">
        <v>776</v>
      </c>
      <c r="I25" t="s">
        <v>780</v>
      </c>
    </row>
    <row r="26" spans="2:9">
      <c r="C26" s="2"/>
    </row>
    <row r="27" spans="2:9">
      <c r="B27" t="s">
        <v>746</v>
      </c>
      <c r="C27" s="2">
        <f>C22*G5</f>
        <v>125.39682539682543</v>
      </c>
      <c r="D27" t="s">
        <v>17</v>
      </c>
      <c r="E27" t="s">
        <v>765</v>
      </c>
    </row>
    <row r="28" spans="2:9">
      <c r="B28" t="s">
        <v>747</v>
      </c>
      <c r="C28" s="2">
        <f>C18/C27*60</f>
        <v>13.642450632911389</v>
      </c>
      <c r="D28" t="s">
        <v>362</v>
      </c>
      <c r="E28" t="s">
        <v>760</v>
      </c>
    </row>
    <row r="31" spans="2:9">
      <c r="B31" t="s">
        <v>752</v>
      </c>
      <c r="C31" s="2">
        <f>C18/(C28/60)</f>
        <v>125.39682539682543</v>
      </c>
      <c r="D31" t="s">
        <v>17</v>
      </c>
      <c r="E31" t="s">
        <v>764</v>
      </c>
    </row>
    <row r="33" spans="2:4">
      <c r="B33" t="s">
        <v>773</v>
      </c>
      <c r="C33" s="2">
        <f>C23-C18</f>
        <v>7.5791392405063291</v>
      </c>
      <c r="D33" t="s">
        <v>17</v>
      </c>
    </row>
    <row r="34" spans="2:4">
      <c r="B34" t="s">
        <v>774</v>
      </c>
      <c r="C34" s="2">
        <f>C33*C21</f>
        <v>4.5474835443037973</v>
      </c>
      <c r="D34" t="s">
        <v>17</v>
      </c>
    </row>
    <row r="35" spans="2:4">
      <c r="B35" t="s">
        <v>775</v>
      </c>
      <c r="C35" s="2">
        <f>C33-C34</f>
        <v>3.0316556962025318</v>
      </c>
      <c r="D35" t="s">
        <v>17</v>
      </c>
    </row>
    <row r="37" spans="2:4">
      <c r="B37" t="s">
        <v>823</v>
      </c>
      <c r="C37" s="2">
        <f>C33*(60/C28)</f>
        <v>33.333333333333343</v>
      </c>
      <c r="D37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1511-C29E-654E-8993-320416F52514}">
  <dimension ref="B3:K35"/>
  <sheetViews>
    <sheetView topLeftCell="A10" workbookViewId="0">
      <selection activeCell="P20" sqref="P20"/>
    </sheetView>
  </sheetViews>
  <sheetFormatPr baseColWidth="10" defaultRowHeight="16"/>
  <cols>
    <col min="2" max="2" width="12.33203125" customWidth="1"/>
    <col min="10" max="10" width="14.5" customWidth="1"/>
  </cols>
  <sheetData>
    <row r="3" spans="2:10">
      <c r="B3" t="s">
        <v>781</v>
      </c>
    </row>
    <row r="4" spans="2:10">
      <c r="H4" t="s">
        <v>778</v>
      </c>
    </row>
    <row r="5" spans="2:10">
      <c r="B5" t="s">
        <v>730</v>
      </c>
      <c r="C5">
        <v>0.78</v>
      </c>
      <c r="D5">
        <v>0.78</v>
      </c>
      <c r="E5">
        <v>0.78</v>
      </c>
      <c r="H5" t="s">
        <v>744</v>
      </c>
      <c r="I5">
        <v>0.79</v>
      </c>
      <c r="J5" t="s">
        <v>779</v>
      </c>
    </row>
    <row r="6" spans="2:10">
      <c r="B6" t="s">
        <v>731</v>
      </c>
      <c r="C6">
        <v>0.20899999999999999</v>
      </c>
      <c r="D6">
        <v>0.20899999999999999</v>
      </c>
      <c r="E6">
        <v>0.20899999999999999</v>
      </c>
      <c r="F6" s="75">
        <f>C6*F$10</f>
        <v>0.95000000000000007</v>
      </c>
      <c r="H6" t="s">
        <v>745</v>
      </c>
      <c r="I6">
        <v>0.21</v>
      </c>
      <c r="J6" t="s">
        <v>761</v>
      </c>
    </row>
    <row r="7" spans="2:10">
      <c r="B7" t="s">
        <v>732</v>
      </c>
      <c r="C7">
        <v>8.9999999999999993E-3</v>
      </c>
      <c r="D7">
        <v>8.9999999999999993E-3</v>
      </c>
      <c r="E7">
        <v>8.9999999999999993E-3</v>
      </c>
      <c r="F7" s="75">
        <f t="shared" ref="F7:F8" si="0">C7*F$10</f>
        <v>4.0909090909090909E-2</v>
      </c>
    </row>
    <row r="8" spans="2:10">
      <c r="B8" t="s">
        <v>733</v>
      </c>
      <c r="C8">
        <v>2E-3</v>
      </c>
      <c r="D8">
        <v>2E-3</v>
      </c>
      <c r="E8">
        <v>2E-3</v>
      </c>
      <c r="F8" s="75">
        <f t="shared" si="0"/>
        <v>9.0909090909090922E-3</v>
      </c>
      <c r="I8" s="76">
        <f>C6*F6</f>
        <v>0.19855</v>
      </c>
      <c r="J8" t="s">
        <v>762</v>
      </c>
    </row>
    <row r="9" spans="2:10">
      <c r="C9">
        <f>SUM(C5:C8)</f>
        <v>1</v>
      </c>
      <c r="D9">
        <f>SUM(D5:D8)</f>
        <v>1</v>
      </c>
      <c r="E9">
        <f>SUM(E5:E8)</f>
        <v>1</v>
      </c>
      <c r="F9">
        <f>SUM(C6:C8)</f>
        <v>0.22</v>
      </c>
      <c r="I9" s="76">
        <f>I6-I8</f>
        <v>1.1449999999999988E-2</v>
      </c>
      <c r="J9" t="s">
        <v>763</v>
      </c>
    </row>
    <row r="10" spans="2:10">
      <c r="F10" s="1">
        <f>C9/F9</f>
        <v>4.5454545454545459</v>
      </c>
      <c r="G10" t="s">
        <v>748</v>
      </c>
    </row>
    <row r="13" spans="2:10">
      <c r="B13" t="s">
        <v>753</v>
      </c>
      <c r="C13">
        <v>22</v>
      </c>
      <c r="D13">
        <v>22</v>
      </c>
      <c r="E13">
        <v>22</v>
      </c>
      <c r="F13" t="s">
        <v>736</v>
      </c>
      <c r="G13" t="s">
        <v>754</v>
      </c>
    </row>
    <row r="14" spans="2:10">
      <c r="B14" t="s">
        <v>737</v>
      </c>
      <c r="C14">
        <v>0.7</v>
      </c>
      <c r="D14">
        <v>0.7</v>
      </c>
      <c r="E14">
        <v>0.7</v>
      </c>
      <c r="G14" t="s">
        <v>755</v>
      </c>
    </row>
    <row r="15" spans="2:10">
      <c r="B15" t="s">
        <v>738</v>
      </c>
      <c r="C15">
        <f>C13*C14</f>
        <v>15.399999999999999</v>
      </c>
      <c r="D15">
        <f>D13*D14</f>
        <v>15.399999999999999</v>
      </c>
      <c r="E15">
        <f>E13*E14</f>
        <v>15.399999999999999</v>
      </c>
      <c r="F15" t="s">
        <v>736</v>
      </c>
      <c r="G15" t="s">
        <v>749</v>
      </c>
    </row>
    <row r="17" spans="2:11">
      <c r="B17" t="s">
        <v>739</v>
      </c>
      <c r="C17">
        <v>1.8</v>
      </c>
      <c r="D17">
        <v>0.5</v>
      </c>
      <c r="E17">
        <v>0.5</v>
      </c>
      <c r="F17" t="s">
        <v>5</v>
      </c>
    </row>
    <row r="18" spans="2:11">
      <c r="B18" t="s">
        <v>740</v>
      </c>
      <c r="C18">
        <f>C15*C17</f>
        <v>27.72</v>
      </c>
      <c r="D18">
        <f>D15*D17</f>
        <v>7.6999999999999993</v>
      </c>
      <c r="E18">
        <f>E15*E17</f>
        <v>7.6999999999999993</v>
      </c>
      <c r="F18" t="s">
        <v>355</v>
      </c>
      <c r="G18" t="s">
        <v>750</v>
      </c>
    </row>
    <row r="20" spans="2:11">
      <c r="B20" t="s">
        <v>742</v>
      </c>
      <c r="C20">
        <v>33.33</v>
      </c>
      <c r="D20">
        <v>20</v>
      </c>
      <c r="E20">
        <v>10</v>
      </c>
      <c r="F20" t="s">
        <v>17</v>
      </c>
    </row>
    <row r="21" spans="2:11">
      <c r="B21" t="s">
        <v>743</v>
      </c>
      <c r="C21">
        <v>1</v>
      </c>
      <c r="D21">
        <v>1</v>
      </c>
      <c r="E21">
        <v>1</v>
      </c>
      <c r="G21" t="s">
        <v>751</v>
      </c>
    </row>
    <row r="22" spans="2:11">
      <c r="B22" t="s">
        <v>741</v>
      </c>
      <c r="C22" s="2">
        <f>C20/C21/(1-$I5)</f>
        <v>158.71428571428572</v>
      </c>
      <c r="D22" s="2">
        <f>D20/D21/(1-$I5)</f>
        <v>95.238095238095255</v>
      </c>
      <c r="E22" s="2">
        <f>E20/E21/(1-$I5)</f>
        <v>47.619047619047628</v>
      </c>
      <c r="F22" t="s">
        <v>17</v>
      </c>
      <c r="G22" t="s">
        <v>759</v>
      </c>
    </row>
    <row r="23" spans="2:11">
      <c r="B23" t="s">
        <v>756</v>
      </c>
      <c r="C23" s="2">
        <f>C22*(C28/60)</f>
        <v>35.088607594936704</v>
      </c>
      <c r="D23" s="2">
        <f>D22*(D28/60)</f>
        <v>9.7468354430379733</v>
      </c>
      <c r="E23" s="2">
        <f>E22*(E28/60)</f>
        <v>9.7468354430379733</v>
      </c>
      <c r="F23" t="s">
        <v>757</v>
      </c>
      <c r="G23" t="s">
        <v>758</v>
      </c>
    </row>
    <row r="24" spans="2:11">
      <c r="B24" t="s">
        <v>771</v>
      </c>
      <c r="C24" s="2">
        <f>C20*(C28/60)</f>
        <v>7.3686075949367078</v>
      </c>
      <c r="D24" s="2">
        <f>D20*(D28/60)</f>
        <v>2.046835443037974</v>
      </c>
      <c r="E24" s="2">
        <f>E20*(E28/60)</f>
        <v>2.046835443037974</v>
      </c>
      <c r="F24" t="s">
        <v>355</v>
      </c>
      <c r="G24" t="s">
        <v>777</v>
      </c>
    </row>
    <row r="25" spans="2:11">
      <c r="B25" t="s">
        <v>772</v>
      </c>
      <c r="C25" s="2">
        <f>C24/C21-C24</f>
        <v>0</v>
      </c>
      <c r="D25" s="2">
        <f>D24/D21-D24</f>
        <v>0</v>
      </c>
      <c r="E25" s="2">
        <f>E24/E21-E24</f>
        <v>0</v>
      </c>
      <c r="F25" t="s">
        <v>355</v>
      </c>
      <c r="G25" t="s">
        <v>776</v>
      </c>
      <c r="K25" t="s">
        <v>780</v>
      </c>
    </row>
    <row r="26" spans="2:11">
      <c r="C26" s="2"/>
      <c r="D26" s="2"/>
      <c r="E26" s="2"/>
    </row>
    <row r="27" spans="2:11">
      <c r="B27" t="s">
        <v>746</v>
      </c>
      <c r="C27" s="2">
        <f>C22*$I5</f>
        <v>125.38428571428572</v>
      </c>
      <c r="D27" s="2">
        <f>D22*$I5</f>
        <v>75.238095238095255</v>
      </c>
      <c r="E27" s="2">
        <f>E22*$I5</f>
        <v>37.619047619047628</v>
      </c>
      <c r="F27" t="s">
        <v>17</v>
      </c>
      <c r="G27" t="s">
        <v>765</v>
      </c>
    </row>
    <row r="28" spans="2:11">
      <c r="B28" t="s">
        <v>747</v>
      </c>
      <c r="C28" s="2">
        <f>C18/C27*60</f>
        <v>13.264820152901365</v>
      </c>
      <c r="D28" s="2">
        <f>D18/D27*60</f>
        <v>6.1405063291139221</v>
      </c>
      <c r="E28" s="2">
        <f>E18/E27*60</f>
        <v>12.281012658227844</v>
      </c>
      <c r="F28" t="s">
        <v>362</v>
      </c>
      <c r="G28" t="s">
        <v>760</v>
      </c>
    </row>
    <row r="31" spans="2:11">
      <c r="B31" t="s">
        <v>752</v>
      </c>
      <c r="C31" s="2">
        <f>C18/(C28/60)</f>
        <v>125.38428571428572</v>
      </c>
      <c r="D31" s="2">
        <f>D18/(D28/60)</f>
        <v>75.238095238095255</v>
      </c>
      <c r="E31" s="2">
        <f>E18/(E28/60)</f>
        <v>37.619047619047628</v>
      </c>
      <c r="F31" t="s">
        <v>17</v>
      </c>
      <c r="G31" t="s">
        <v>764</v>
      </c>
    </row>
    <row r="33" spans="3:6">
      <c r="C33" s="2">
        <f>C23-C18</f>
        <v>7.3686075949367051</v>
      </c>
      <c r="D33" s="2">
        <f>D23-D18</f>
        <v>2.046835443037974</v>
      </c>
      <c r="E33" s="2">
        <f>E23-E18</f>
        <v>2.046835443037974</v>
      </c>
      <c r="F33" t="s">
        <v>773</v>
      </c>
    </row>
    <row r="34" spans="3:6">
      <c r="C34" s="2">
        <f>C33*C21</f>
        <v>7.3686075949367051</v>
      </c>
      <c r="D34" s="2">
        <f>D33*D21</f>
        <v>2.046835443037974</v>
      </c>
      <c r="E34" s="2">
        <f>E33*E21</f>
        <v>2.046835443037974</v>
      </c>
      <c r="F34" t="s">
        <v>774</v>
      </c>
    </row>
    <row r="35" spans="3:6">
      <c r="C35" s="2">
        <f>C33-C34</f>
        <v>0</v>
      </c>
      <c r="D35" s="2">
        <f>D33-D34</f>
        <v>0</v>
      </c>
      <c r="E35" s="2">
        <f>E33-E34</f>
        <v>0</v>
      </c>
      <c r="F35" t="s">
        <v>775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14C10-E1BF-0D47-B37D-C161F481941A}">
  <dimension ref="B3:L35"/>
  <sheetViews>
    <sheetView topLeftCell="A2" workbookViewId="0">
      <selection activeCell="F17" sqref="F17"/>
    </sheetView>
  </sheetViews>
  <sheetFormatPr baseColWidth="10" defaultRowHeight="16"/>
  <cols>
    <col min="2" max="2" width="12.33203125" customWidth="1"/>
    <col min="11" max="11" width="14.5" customWidth="1"/>
  </cols>
  <sheetData>
    <row r="3" spans="2:11">
      <c r="B3" t="s">
        <v>781</v>
      </c>
    </row>
    <row r="4" spans="2:11">
      <c r="I4" t="s">
        <v>778</v>
      </c>
    </row>
    <row r="5" spans="2:11">
      <c r="B5" t="s">
        <v>730</v>
      </c>
      <c r="C5">
        <v>0.78</v>
      </c>
      <c r="D5">
        <v>0.78</v>
      </c>
      <c r="E5">
        <v>0.78</v>
      </c>
      <c r="F5">
        <v>0.78</v>
      </c>
      <c r="I5" t="s">
        <v>744</v>
      </c>
      <c r="J5">
        <v>0.79</v>
      </c>
      <c r="K5" t="s">
        <v>779</v>
      </c>
    </row>
    <row r="6" spans="2:11">
      <c r="B6" t="s">
        <v>731</v>
      </c>
      <c r="C6">
        <v>0.20899999999999999</v>
      </c>
      <c r="D6">
        <v>0.20899999999999999</v>
      </c>
      <c r="E6">
        <v>0.20899999999999999</v>
      </c>
      <c r="F6">
        <v>0.20899999999999999</v>
      </c>
      <c r="G6" s="75">
        <f>C6*G$10</f>
        <v>0.95000000000000007</v>
      </c>
      <c r="I6" t="s">
        <v>745</v>
      </c>
      <c r="J6">
        <v>0.21</v>
      </c>
      <c r="K6" t="s">
        <v>761</v>
      </c>
    </row>
    <row r="7" spans="2:11">
      <c r="B7" t="s">
        <v>732</v>
      </c>
      <c r="C7">
        <v>8.9999999999999993E-3</v>
      </c>
      <c r="D7">
        <v>8.9999999999999993E-3</v>
      </c>
      <c r="E7">
        <v>8.9999999999999993E-3</v>
      </c>
      <c r="F7">
        <v>8.9999999999999993E-3</v>
      </c>
      <c r="G7" s="75">
        <f t="shared" ref="G7:G8" si="0">C7*G$10</f>
        <v>4.0909090909090909E-2</v>
      </c>
    </row>
    <row r="8" spans="2:11">
      <c r="B8" t="s">
        <v>733</v>
      </c>
      <c r="C8">
        <v>2E-3</v>
      </c>
      <c r="D8">
        <v>2E-3</v>
      </c>
      <c r="E8">
        <v>2E-3</v>
      </c>
      <c r="F8">
        <v>2E-3</v>
      </c>
      <c r="G8" s="75">
        <f t="shared" si="0"/>
        <v>9.0909090909090922E-3</v>
      </c>
      <c r="J8" s="76">
        <f>C6*G6</f>
        <v>0.19855</v>
      </c>
      <c r="K8" t="s">
        <v>762</v>
      </c>
    </row>
    <row r="9" spans="2:11">
      <c r="C9">
        <f>SUM(C5:C8)</f>
        <v>1</v>
      </c>
      <c r="D9">
        <f>SUM(D5:D8)</f>
        <v>1</v>
      </c>
      <c r="E9">
        <f>SUM(E5:E8)</f>
        <v>1</v>
      </c>
      <c r="F9">
        <f>SUM(F5:F8)</f>
        <v>1</v>
      </c>
      <c r="G9">
        <f>SUM(C6:C8)</f>
        <v>0.22</v>
      </c>
      <c r="J9" s="76">
        <f>J6-J8</f>
        <v>1.1449999999999988E-2</v>
      </c>
      <c r="K9" t="s">
        <v>763</v>
      </c>
    </row>
    <row r="10" spans="2:11">
      <c r="G10" s="1">
        <f>C9/G9</f>
        <v>4.5454545454545459</v>
      </c>
      <c r="H10" t="s">
        <v>748</v>
      </c>
    </row>
    <row r="13" spans="2:11">
      <c r="B13" t="s">
        <v>753</v>
      </c>
      <c r="C13">
        <v>22</v>
      </c>
      <c r="D13">
        <v>22</v>
      </c>
      <c r="E13">
        <v>22</v>
      </c>
      <c r="F13">
        <v>22</v>
      </c>
      <c r="G13" t="s">
        <v>736</v>
      </c>
      <c r="H13" t="s">
        <v>754</v>
      </c>
    </row>
    <row r="14" spans="2:11">
      <c r="B14" t="s">
        <v>737</v>
      </c>
      <c r="C14">
        <v>0.7</v>
      </c>
      <c r="D14">
        <v>0.7</v>
      </c>
      <c r="E14">
        <v>0.7</v>
      </c>
      <c r="F14">
        <v>0.7</v>
      </c>
      <c r="H14" t="s">
        <v>755</v>
      </c>
    </row>
    <row r="15" spans="2:11">
      <c r="B15" t="s">
        <v>738</v>
      </c>
      <c r="C15">
        <f>C13*C14</f>
        <v>15.399999999999999</v>
      </c>
      <c r="D15">
        <f>D13*D14</f>
        <v>15.399999999999999</v>
      </c>
      <c r="E15">
        <f>E13*E14</f>
        <v>15.399999999999999</v>
      </c>
      <c r="F15">
        <f>F13*F14</f>
        <v>15.399999999999999</v>
      </c>
      <c r="G15" t="s">
        <v>736</v>
      </c>
      <c r="H15" t="s">
        <v>749</v>
      </c>
    </row>
    <row r="17" spans="2:12">
      <c r="B17" t="s">
        <v>739</v>
      </c>
      <c r="C17">
        <v>1.8</v>
      </c>
      <c r="D17">
        <v>0.2</v>
      </c>
      <c r="E17">
        <v>0.1</v>
      </c>
      <c r="F17">
        <v>0.15</v>
      </c>
      <c r="G17" t="s">
        <v>5</v>
      </c>
    </row>
    <row r="18" spans="2:12">
      <c r="B18" t="s">
        <v>740</v>
      </c>
      <c r="C18">
        <f>C15*C17</f>
        <v>27.72</v>
      </c>
      <c r="D18">
        <f>D15*D17</f>
        <v>3.08</v>
      </c>
      <c r="E18">
        <f>E15*E17</f>
        <v>1.54</v>
      </c>
      <c r="F18">
        <f>F15*F17</f>
        <v>2.3099999999999996</v>
      </c>
      <c r="G18" t="s">
        <v>355</v>
      </c>
      <c r="H18" t="s">
        <v>750</v>
      </c>
    </row>
    <row r="20" spans="2:12">
      <c r="B20" t="s">
        <v>742</v>
      </c>
      <c r="C20">
        <v>33.33</v>
      </c>
      <c r="D20">
        <v>10</v>
      </c>
      <c r="E20">
        <v>5</v>
      </c>
      <c r="F20">
        <v>7</v>
      </c>
      <c r="G20" t="s">
        <v>17</v>
      </c>
    </row>
    <row r="21" spans="2:12">
      <c r="B21" t="s">
        <v>743</v>
      </c>
      <c r="C21">
        <v>1</v>
      </c>
      <c r="D21">
        <v>1</v>
      </c>
      <c r="E21">
        <v>1</v>
      </c>
      <c r="F21">
        <v>1</v>
      </c>
      <c r="H21" t="s">
        <v>751</v>
      </c>
    </row>
    <row r="22" spans="2:12">
      <c r="B22" t="s">
        <v>741</v>
      </c>
      <c r="C22" s="2">
        <f>C20/C21/(1-$J5)</f>
        <v>158.71428571428572</v>
      </c>
      <c r="D22" s="2">
        <f>D20/D21/(1-$J5)</f>
        <v>47.619047619047628</v>
      </c>
      <c r="E22" s="2">
        <f>E20/E21/(1-$J5)</f>
        <v>23.809523809523814</v>
      </c>
      <c r="F22" s="2">
        <f>F20/F21/(1-$J5)</f>
        <v>33.333333333333336</v>
      </c>
      <c r="G22" t="s">
        <v>17</v>
      </c>
      <c r="H22" t="s">
        <v>759</v>
      </c>
    </row>
    <row r="23" spans="2:12">
      <c r="B23" t="s">
        <v>756</v>
      </c>
      <c r="C23" s="2">
        <f>C22*(C28/60)</f>
        <v>35.088607594936704</v>
      </c>
      <c r="D23" s="2">
        <f>D22*(D28/60)</f>
        <v>3.8987341772151898</v>
      </c>
      <c r="E23" s="2">
        <f>E22*(E28/60)</f>
        <v>1.9493670886075949</v>
      </c>
      <c r="F23" s="2">
        <f>F22*(F28/60)</f>
        <v>2.924050632911392</v>
      </c>
      <c r="G23" t="s">
        <v>757</v>
      </c>
      <c r="H23" t="s">
        <v>758</v>
      </c>
    </row>
    <row r="24" spans="2:12">
      <c r="B24" t="s">
        <v>771</v>
      </c>
      <c r="C24" s="2">
        <f>C20*(C28/60)</f>
        <v>7.3686075949367078</v>
      </c>
      <c r="D24" s="2">
        <f>D20*(D28/60)</f>
        <v>0.81873417721518971</v>
      </c>
      <c r="E24" s="2">
        <f>E20*(E28/60)</f>
        <v>0.40936708860759485</v>
      </c>
      <c r="F24" s="2">
        <f>F20*(F28/60)</f>
        <v>0.61405063291139228</v>
      </c>
      <c r="G24" t="s">
        <v>355</v>
      </c>
      <c r="H24" t="s">
        <v>777</v>
      </c>
    </row>
    <row r="25" spans="2:12">
      <c r="B25" t="s">
        <v>772</v>
      </c>
      <c r="C25" s="2">
        <f>C24/C21-C24</f>
        <v>0</v>
      </c>
      <c r="D25" s="2">
        <f>D24/D21-D24</f>
        <v>0</v>
      </c>
      <c r="E25" s="2">
        <f>E24/E21-E24</f>
        <v>0</v>
      </c>
      <c r="F25" s="2">
        <f>F24/F21-F24</f>
        <v>0</v>
      </c>
      <c r="G25" t="s">
        <v>355</v>
      </c>
      <c r="H25" t="s">
        <v>776</v>
      </c>
      <c r="L25" t="s">
        <v>780</v>
      </c>
    </row>
    <row r="26" spans="2:12">
      <c r="C26" s="2"/>
      <c r="D26" s="2"/>
      <c r="E26" s="2"/>
      <c r="F26" s="2"/>
    </row>
    <row r="27" spans="2:12">
      <c r="B27" t="s">
        <v>746</v>
      </c>
      <c r="C27" s="2">
        <f>C22*$J5</f>
        <v>125.38428571428572</v>
      </c>
      <c r="D27" s="2">
        <f>D22*$J5</f>
        <v>37.619047619047628</v>
      </c>
      <c r="E27" s="2">
        <f>E22*$J5</f>
        <v>18.809523809523814</v>
      </c>
      <c r="F27" s="2">
        <f>F22*$J5</f>
        <v>26.333333333333336</v>
      </c>
      <c r="G27" t="s">
        <v>17</v>
      </c>
      <c r="H27" t="s">
        <v>765</v>
      </c>
    </row>
    <row r="28" spans="2:12">
      <c r="B28" t="s">
        <v>747</v>
      </c>
      <c r="C28" s="2">
        <f>C18/C27*60</f>
        <v>13.264820152901365</v>
      </c>
      <c r="D28" s="2">
        <f>D18/D27*60</f>
        <v>4.9124050632911382</v>
      </c>
      <c r="E28" s="2">
        <f>E18/E27*60</f>
        <v>4.9124050632911382</v>
      </c>
      <c r="F28" s="2">
        <f>F18/F27*60</f>
        <v>5.2632911392405051</v>
      </c>
      <c r="G28" t="s">
        <v>362</v>
      </c>
      <c r="H28" t="s">
        <v>760</v>
      </c>
    </row>
    <row r="31" spans="2:12">
      <c r="B31" t="s">
        <v>752</v>
      </c>
      <c r="C31" s="2">
        <f>C18/(C28/60)</f>
        <v>125.38428571428572</v>
      </c>
      <c r="D31" s="2">
        <f>D18/(D28/60)</f>
        <v>37.619047619047628</v>
      </c>
      <c r="E31" s="2">
        <f>E18/(E28/60)</f>
        <v>18.809523809523814</v>
      </c>
      <c r="F31" s="2">
        <f>F18/(F28/60)</f>
        <v>26.333333333333336</v>
      </c>
      <c r="G31" t="s">
        <v>17</v>
      </c>
      <c r="H31" t="s">
        <v>764</v>
      </c>
    </row>
    <row r="33" spans="3:7">
      <c r="C33" s="2">
        <f>C23-C18</f>
        <v>7.3686075949367051</v>
      </c>
      <c r="D33" s="2">
        <f>D23-D18</f>
        <v>0.81873417721518971</v>
      </c>
      <c r="E33" s="2">
        <f>E23-E18</f>
        <v>0.40936708860759485</v>
      </c>
      <c r="F33" s="2">
        <f>F23-F18</f>
        <v>0.61405063291139239</v>
      </c>
      <c r="G33" t="s">
        <v>773</v>
      </c>
    </row>
    <row r="34" spans="3:7">
      <c r="C34" s="2">
        <f>C33*C21</f>
        <v>7.3686075949367051</v>
      </c>
      <c r="D34" s="2">
        <f>D33*D21</f>
        <v>0.81873417721518971</v>
      </c>
      <c r="E34" s="2">
        <f>E33*E21</f>
        <v>0.40936708860759485</v>
      </c>
      <c r="F34" s="2">
        <f>F33*F21</f>
        <v>0.61405063291139239</v>
      </c>
      <c r="G34" t="s">
        <v>774</v>
      </c>
    </row>
    <row r="35" spans="3:7">
      <c r="C35" s="2">
        <f>C33-C34</f>
        <v>0</v>
      </c>
      <c r="D35" s="2">
        <f>D33-D34</f>
        <v>0</v>
      </c>
      <c r="E35" s="2">
        <f>E33-E34</f>
        <v>0</v>
      </c>
      <c r="F35" s="2">
        <f>F33-F34</f>
        <v>0</v>
      </c>
      <c r="G35" t="s">
        <v>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Volume</vt:lpstr>
      <vt:lpstr>Compressor</vt:lpstr>
      <vt:lpstr>scratch</vt:lpstr>
      <vt:lpstr>Convection</vt:lpstr>
      <vt:lpstr>Volume-radialflow</vt:lpstr>
      <vt:lpstr>isotherm</vt:lpstr>
      <vt:lpstr>Model-O24U</vt:lpstr>
      <vt:lpstr>Model-tester</vt:lpstr>
      <vt:lpstr>model-puffer</vt:lpstr>
      <vt:lpstr>Model-VPSA</vt:lpstr>
      <vt:lpstr>BOMcost</vt:lpstr>
      <vt:lpstr>intercooler</vt:lpstr>
      <vt:lpstr>Heater</vt:lpstr>
      <vt:lpstr>Valves</vt:lpstr>
      <vt:lpstr>Materials</vt:lpstr>
      <vt:lpstr>Things I have built</vt:lpstr>
      <vt:lpstr>vacuum +velocity</vt:lpstr>
      <vt:lpstr>Column HW</vt:lpstr>
      <vt:lpstr>electrical</vt:lpstr>
      <vt:lpstr>bom</vt:lpstr>
      <vt:lpstr>EquipmentList</vt:lpstr>
      <vt:lpstr>RTU config</vt:lpstr>
      <vt:lpstr>O2 RTU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Koster</dc:creator>
  <cp:lastModifiedBy>Michael Koster</cp:lastModifiedBy>
  <cp:lastPrinted>2021-08-14T16:50:33Z</cp:lastPrinted>
  <dcterms:created xsi:type="dcterms:W3CDTF">2020-04-18T23:46:49Z</dcterms:created>
  <dcterms:modified xsi:type="dcterms:W3CDTF">2022-02-25T19:00:01Z</dcterms:modified>
</cp:coreProperties>
</file>