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18ABF4B0-CAF0-4447-BDF6-2E73BE4E14D9}" xr6:coauthVersionLast="36" xr6:coauthVersionMax="36" xr10:uidLastSave="{00000000-0000-0000-0000-000000000000}"/>
  <bookViews>
    <workbookView xWindow="156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E4" i="2"/>
  <c r="E3" i="2"/>
  <c r="B34" i="2" l="1"/>
  <c r="B25" i="2"/>
  <c r="B26" i="2" s="1"/>
  <c r="B32" i="2" s="1"/>
  <c r="B21" i="2"/>
  <c r="B31" i="2" s="1"/>
  <c r="B20" i="2"/>
  <c r="B16" i="2"/>
  <c r="B17" i="2" s="1"/>
  <c r="B30" i="2" s="1"/>
  <c r="B36" i="2" s="1"/>
  <c r="B12" i="2"/>
  <c r="B13" i="2" s="1"/>
  <c r="B37" i="2" l="1"/>
  <c r="B45" i="1"/>
  <c r="AA21" i="2"/>
  <c r="AA22" i="2"/>
  <c r="V33" i="2"/>
  <c r="V40" i="2" s="1"/>
  <c r="V41" i="2" s="1"/>
  <c r="U33" i="2"/>
  <c r="U40" i="2" s="1"/>
  <c r="U41" i="2" s="1"/>
  <c r="L123" i="2"/>
  <c r="L114" i="2"/>
  <c r="L115" i="2" s="1"/>
  <c r="L121" i="2" s="1"/>
  <c r="L110" i="2"/>
  <c r="L120" i="2" s="1"/>
  <c r="L109" i="2"/>
  <c r="L105" i="2"/>
  <c r="L106" i="2" s="1"/>
  <c r="L119" i="2" s="1"/>
  <c r="L125" i="2" s="1"/>
  <c r="L101" i="2"/>
  <c r="L102" i="2" s="1"/>
  <c r="H34" i="2"/>
  <c r="H25" i="2"/>
  <c r="H26" i="2" s="1"/>
  <c r="H32" i="2" s="1"/>
  <c r="H21" i="2"/>
  <c r="H31" i="2" s="1"/>
  <c r="H20" i="2"/>
  <c r="H16" i="2"/>
  <c r="H17" i="2" s="1"/>
  <c r="H30" i="2" s="1"/>
  <c r="H36" i="2" s="1"/>
  <c r="H12" i="2"/>
  <c r="H13" i="2" s="1"/>
  <c r="E34" i="2"/>
  <c r="E25" i="2"/>
  <c r="E26" i="2" s="1"/>
  <c r="E32" i="2" s="1"/>
  <c r="E21" i="2"/>
  <c r="E31" i="2" s="1"/>
  <c r="E20" i="2"/>
  <c r="E16" i="2"/>
  <c r="E17" i="2" s="1"/>
  <c r="E12" i="2"/>
  <c r="E13" i="2" s="1"/>
  <c r="P25" i="2"/>
  <c r="P28" i="2" s="1"/>
  <c r="P29" i="2" s="1"/>
  <c r="P30" i="2" s="1"/>
  <c r="P31" i="2" s="1"/>
  <c r="F4" i="1"/>
  <c r="F2" i="1"/>
  <c r="F3" i="1"/>
  <c r="AB22" i="2" l="1"/>
  <c r="AC22" i="2"/>
  <c r="H37" i="2"/>
  <c r="AC21" i="2"/>
  <c r="AB21" i="2"/>
  <c r="L126" i="2"/>
  <c r="U39" i="2"/>
  <c r="U42" i="2" s="1"/>
  <c r="V39" i="2"/>
  <c r="V42" i="2" s="1"/>
  <c r="E37" i="2"/>
  <c r="E30" i="2"/>
  <c r="E36" i="2" s="1"/>
  <c r="H3" i="1"/>
  <c r="L34" i="2"/>
  <c r="L25" i="2"/>
  <c r="L26" i="2" s="1"/>
  <c r="L32" i="2" s="1"/>
  <c r="L21" i="2"/>
  <c r="L31" i="2" s="1"/>
  <c r="L20" i="2"/>
  <c r="L16" i="2"/>
  <c r="L17" i="2" s="1"/>
  <c r="L12" i="2"/>
  <c r="L13" i="2" s="1"/>
  <c r="AA20" i="2"/>
  <c r="AA19" i="2"/>
  <c r="D34" i="2"/>
  <c r="D25" i="2"/>
  <c r="D26" i="2" s="1"/>
  <c r="D32" i="2" s="1"/>
  <c r="D21" i="2"/>
  <c r="D31" i="2" s="1"/>
  <c r="D20" i="2"/>
  <c r="D16" i="2"/>
  <c r="D17" i="2" s="1"/>
  <c r="D12" i="2"/>
  <c r="D13" i="2" s="1"/>
  <c r="K34" i="2"/>
  <c r="K25" i="2"/>
  <c r="K26" i="2" s="1"/>
  <c r="K32" i="2" s="1"/>
  <c r="K21" i="2"/>
  <c r="K31" i="2" s="1"/>
  <c r="K20" i="2"/>
  <c r="K16" i="2"/>
  <c r="K17" i="2" s="1"/>
  <c r="K12" i="2"/>
  <c r="K13" i="2" s="1"/>
  <c r="G21" i="2"/>
  <c r="G31" i="2" s="1"/>
  <c r="F21" i="2"/>
  <c r="F31" i="2" s="1"/>
  <c r="I21" i="2"/>
  <c r="I31" i="2" s="1"/>
  <c r="J21" i="2"/>
  <c r="J31" i="2" s="1"/>
  <c r="C21" i="2"/>
  <c r="C31" i="2" s="1"/>
  <c r="F34" i="2"/>
  <c r="F25" i="2"/>
  <c r="F26" i="2" s="1"/>
  <c r="F32" i="2" s="1"/>
  <c r="F20" i="2"/>
  <c r="F16" i="2"/>
  <c r="F17" i="2" s="1"/>
  <c r="F30" i="2" s="1"/>
  <c r="F12" i="2"/>
  <c r="F13" i="2" s="1"/>
  <c r="J34" i="2"/>
  <c r="J25" i="2"/>
  <c r="J26" i="2" s="1"/>
  <c r="J32" i="2" s="1"/>
  <c r="J20" i="2"/>
  <c r="J16" i="2"/>
  <c r="J17" i="2" s="1"/>
  <c r="J30" i="2" s="1"/>
  <c r="J12" i="2"/>
  <c r="J13" i="2" s="1"/>
  <c r="G34" i="2"/>
  <c r="G25" i="2"/>
  <c r="G26" i="2" s="1"/>
  <c r="G32" i="2" s="1"/>
  <c r="G20" i="2"/>
  <c r="G16" i="2"/>
  <c r="G17" i="2" s="1"/>
  <c r="G30" i="2" s="1"/>
  <c r="G12" i="2"/>
  <c r="G13" i="2" s="1"/>
  <c r="AI29" i="2"/>
  <c r="AI32" i="2" s="1"/>
  <c r="AC29" i="2"/>
  <c r="AC32" i="2" s="1"/>
  <c r="AG45" i="2"/>
  <c r="AG46" i="2" s="1"/>
  <c r="AH37" i="2"/>
  <c r="AG37" i="2"/>
  <c r="AH36" i="2"/>
  <c r="AG36" i="2"/>
  <c r="AH34" i="2"/>
  <c r="AH35" i="2" s="1"/>
  <c r="AG34" i="2"/>
  <c r="AA45" i="2"/>
  <c r="AA46" i="2" s="1"/>
  <c r="AA37" i="2"/>
  <c r="AA36" i="2"/>
  <c r="AB37" i="2"/>
  <c r="AB36" i="2"/>
  <c r="AD68" i="2"/>
  <c r="AD69" i="2" s="1"/>
  <c r="AF69" i="2" s="1"/>
  <c r="AD62" i="2"/>
  <c r="AD63" i="2" s="1"/>
  <c r="AF63" i="2" s="1"/>
  <c r="AD56" i="2"/>
  <c r="AD57" i="2" s="1"/>
  <c r="AD58" i="2" s="1"/>
  <c r="AA34" i="2"/>
  <c r="AB34" i="2"/>
  <c r="AB35" i="2" s="1"/>
  <c r="I34" i="2"/>
  <c r="I25" i="2"/>
  <c r="I26" i="2" s="1"/>
  <c r="I32" i="2" s="1"/>
  <c r="I20" i="2"/>
  <c r="I16" i="2"/>
  <c r="R17" i="2" s="1"/>
  <c r="I12" i="2"/>
  <c r="I13" i="2" s="1"/>
  <c r="L30" i="2" l="1"/>
  <c r="L36" i="2" s="1"/>
  <c r="D37" i="2"/>
  <c r="L37" i="2"/>
  <c r="F37" i="2"/>
  <c r="AG39" i="2"/>
  <c r="AF36" i="2" s="1"/>
  <c r="K37" i="2"/>
  <c r="K30" i="2"/>
  <c r="K36" i="2" s="1"/>
  <c r="D30" i="2"/>
  <c r="D36" i="2" s="1"/>
  <c r="AD70" i="2"/>
  <c r="J37" i="2"/>
  <c r="AF57" i="2"/>
  <c r="AD64" i="2"/>
  <c r="I17" i="2"/>
  <c r="AF33" i="2"/>
  <c r="F36" i="2"/>
  <c r="J36" i="2"/>
  <c r="G37" i="2"/>
  <c r="G36" i="2"/>
  <c r="AF34" i="2"/>
  <c r="AG35" i="2"/>
  <c r="AG40" i="2" s="1"/>
  <c r="AF37" i="2" s="1"/>
  <c r="Z34" i="2"/>
  <c r="AA39" i="2"/>
  <c r="Z36" i="2" s="1"/>
  <c r="Z33" i="2"/>
  <c r="R19" i="2"/>
  <c r="R20" i="2" s="1"/>
  <c r="R18" i="2"/>
  <c r="AA35" i="2"/>
  <c r="AA40" i="2" s="1"/>
  <c r="Z37" i="2" s="1"/>
  <c r="I37" i="2"/>
  <c r="AD74" i="2"/>
  <c r="Y74" i="2"/>
  <c r="Y75" i="2" s="1"/>
  <c r="AA75" i="2" s="1"/>
  <c r="Y68" i="2"/>
  <c r="Y69" i="2" s="1"/>
  <c r="U58" i="2"/>
  <c r="U59" i="2" s="1"/>
  <c r="Y62" i="2"/>
  <c r="Y63" i="2" s="1"/>
  <c r="Y56" i="2"/>
  <c r="Y57" i="2" s="1"/>
  <c r="U64" i="2"/>
  <c r="U65" i="2" s="1"/>
  <c r="C34" i="2"/>
  <c r="C12" i="2"/>
  <c r="C13" i="2" s="1"/>
  <c r="AD16" i="2"/>
  <c r="AD17" i="2"/>
  <c r="AD18" i="2"/>
  <c r="AD15" i="2"/>
  <c r="Z16" i="2"/>
  <c r="Z17" i="2"/>
  <c r="Z18" i="2"/>
  <c r="Z15" i="2"/>
  <c r="AA16" i="2"/>
  <c r="AA17" i="2"/>
  <c r="AA18" i="2"/>
  <c r="AA15" i="2"/>
  <c r="AB19" i="2"/>
  <c r="V35" i="2"/>
  <c r="V36" i="2" s="1"/>
  <c r="V38" i="2" s="1"/>
  <c r="U35" i="2"/>
  <c r="U36" i="2" s="1"/>
  <c r="U38" i="2" s="1"/>
  <c r="Y16" i="2"/>
  <c r="Y17" i="2"/>
  <c r="Y18" i="2"/>
  <c r="Y15" i="2"/>
  <c r="AC20" i="2" l="1"/>
  <c r="AC19" i="2"/>
  <c r="AB20" i="2"/>
  <c r="I30" i="2"/>
  <c r="I36" i="2" s="1"/>
  <c r="AC15" i="2"/>
  <c r="AB18" i="2"/>
  <c r="AA74" i="2"/>
  <c r="AD75" i="2"/>
  <c r="AB17" i="2"/>
  <c r="AC16" i="2"/>
  <c r="AB16" i="2"/>
  <c r="AB15" i="2"/>
  <c r="AC18" i="2"/>
  <c r="AC17" i="2"/>
  <c r="AF75" i="2" l="1"/>
  <c r="AD76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4" i="1"/>
  <c r="M13" i="1"/>
  <c r="M11" i="1"/>
  <c r="O16" i="1"/>
  <c r="O17" i="1" s="1"/>
  <c r="S6" i="1"/>
  <c r="U4" i="1" s="1"/>
  <c r="O14" i="1"/>
  <c r="P14" i="1"/>
  <c r="P16" i="1"/>
  <c r="P17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N16" i="1"/>
  <c r="N17" i="1" s="1"/>
  <c r="Q16" i="1"/>
  <c r="Q17" i="1" s="1"/>
  <c r="R16" i="1"/>
  <c r="R17" i="1" s="1"/>
  <c r="R18" i="1" s="1"/>
  <c r="S16" i="1"/>
  <c r="S17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C20" i="2"/>
  <c r="C25" i="2"/>
  <c r="C26" i="2" s="1"/>
  <c r="C32" i="2" s="1"/>
  <c r="C16" i="2"/>
  <c r="B35" i="1"/>
  <c r="B50" i="1"/>
  <c r="B51" i="1" s="1"/>
  <c r="K21" i="1" s="1"/>
  <c r="K23" i="1" s="1"/>
  <c r="K24" i="1" s="1"/>
  <c r="K25" i="1" s="1"/>
  <c r="B44" i="1"/>
  <c r="J44" i="1" s="1"/>
  <c r="J45" i="1" s="1"/>
  <c r="B12" i="1"/>
  <c r="B15" i="1" s="1"/>
  <c r="B34" i="1"/>
  <c r="B37" i="1" s="1"/>
  <c r="B43" i="1"/>
  <c r="B112" i="1"/>
  <c r="B114" i="1" s="1"/>
  <c r="B101" i="1"/>
  <c r="B99" i="1"/>
  <c r="D99" i="1" s="1"/>
  <c r="D101" i="1" s="1"/>
  <c r="B98" i="1"/>
  <c r="E46" i="1"/>
  <c r="G76" i="1"/>
  <c r="G57" i="1"/>
  <c r="B47" i="1"/>
  <c r="B48" i="1" s="1"/>
  <c r="G61" i="1"/>
  <c r="G63" i="1"/>
  <c r="B106" i="1"/>
  <c r="B107" i="1" s="1"/>
  <c r="B80" i="1"/>
  <c r="E66" i="1"/>
  <c r="B13" i="1" l="1"/>
  <c r="B53" i="1"/>
  <c r="B55" i="1" s="1"/>
  <c r="G55" i="1" s="1"/>
  <c r="B82" i="1" s="1"/>
  <c r="Q18" i="1"/>
  <c r="P18" i="1"/>
  <c r="O18" i="1"/>
  <c r="M18" i="1"/>
  <c r="N18" i="1"/>
  <c r="B10" i="1"/>
  <c r="B17" i="1" s="1"/>
  <c r="S18" i="1"/>
  <c r="U5" i="1"/>
  <c r="U7" i="1" s="1"/>
  <c r="Q17" i="2"/>
  <c r="Q18" i="2" s="1"/>
  <c r="C17" i="2"/>
  <c r="C30" i="2" s="1"/>
  <c r="C36" i="2" s="1"/>
  <c r="V45" i="2"/>
  <c r="V48" i="2" s="1"/>
  <c r="U45" i="2"/>
  <c r="U48" i="2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0" i="1" l="1"/>
  <c r="Q19" i="2"/>
  <c r="Q20" i="2" s="1"/>
  <c r="U43" i="2"/>
  <c r="U46" i="2" s="1"/>
  <c r="AE17" i="2"/>
  <c r="AE18" i="2"/>
  <c r="AE15" i="2"/>
  <c r="AE16" i="2"/>
  <c r="V43" i="2"/>
  <c r="V46" i="2" s="1"/>
  <c r="AF18" i="2"/>
  <c r="AF15" i="2"/>
  <c r="AF17" i="2"/>
  <c r="AF16" i="2"/>
  <c r="U34" i="3"/>
  <c r="S34" i="3"/>
  <c r="V34" i="3"/>
  <c r="B88" i="1"/>
  <c r="B90" i="1"/>
  <c r="P34" i="3"/>
  <c r="L34" i="3"/>
  <c r="O34" i="3"/>
  <c r="R34" i="3"/>
  <c r="Q34" i="3"/>
  <c r="T34" i="3"/>
  <c r="B84" i="1"/>
  <c r="B24" i="1" l="1"/>
  <c r="B23" i="1"/>
  <c r="B25" i="1" s="1"/>
  <c r="B27" i="1" s="1"/>
  <c r="B30" i="1" s="1"/>
  <c r="B93" i="1"/>
  <c r="F93" i="1" s="1"/>
  <c r="B94" i="1"/>
  <c r="C37" i="2"/>
  <c r="B28" i="1" l="1"/>
</calcChain>
</file>

<file path=xl/sharedStrings.xml><?xml version="1.0" encoding="utf-8"?>
<sst xmlns="http://schemas.openxmlformats.org/spreadsheetml/2006/main" count="720" uniqueCount="333">
  <si>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</si>
  <si>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</si>
  <si>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</si>
  <si>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</si>
  <si>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</si>
  <si>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</si>
  <si>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</si>
  <si>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</si>
  <si>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</si>
  <si>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</si>
  <si>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</si>
  <si>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</si>
  <si>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</si>
  <si>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</si>
  <si>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</si>
  <si>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</si>
  <si>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</si>
  <si>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</si>
  <si>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</si>
  <si>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</si>
  <si>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</si>
  <si>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</si>
  <si>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</si>
  <si>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</si>
  <si>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</si>
  <si>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</si>
  <si>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</si>
  <si>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</si>
  <si>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</si>
  <si>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</si>
  <si>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</si>
  <si>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</si>
  <si>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</si>
  <si>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</si>
  <si>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</si>
  <si>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</si>
  <si>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</si>
  <si>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</si>
  <si>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</si>
  <si>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</si>
  <si>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</si>
  <si>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</si>
  <si>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</si>
  <si>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</si>
  <si>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</si>
  <si>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</si>
  <si>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</si>
  <si>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</si>
  <si>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</si>
  <si>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</si>
  <si>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</si>
  <si>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</si>
  <si>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</si>
  <si>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</si>
  <si>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</si>
  <si>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</si>
  <si>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</si>
  <si>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</si>
  <si>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</si>
  <si>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</si>
  <si>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</si>
  <si>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</si>
  <si>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</si>
  <si>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</si>
  <si>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</si>
  <si>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</si>
  <si>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</si>
  <si>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</si>
  <si>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</si>
  <si>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</si>
  <si>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</si>
  <si>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</si>
  <si>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</si>
  <si>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</si>
  <si>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</si>
  <si>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</si>
  <si>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</si>
  <si>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</si>
  <si>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</si>
  <si>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</si>
  <si>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</si>
  <si>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</si>
  <si>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</si>
  <si>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</si>
  <si>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</si>
  <si>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</si>
  <si>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</si>
  <si>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</si>
  <si>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</si>
  <si>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</si>
  <si>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</si>
  <si>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</si>
  <si>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</si>
  <si>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</si>
  <si>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</si>
  <si>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</si>
  <si>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</si>
  <si>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</si>
  <si>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</si>
  <si>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</si>
  <si>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</si>
  <si>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</si>
  <si>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</si>
  <si>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</si>
  <si>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</si>
  <si>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</si>
  <si>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</si>
  <si>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</si>
  <si>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</si>
  <si>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</si>
  <si>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</si>
  <si>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</si>
  <si>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</si>
  <si>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</si>
  <si>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</si>
  <si>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</si>
  <si>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</si>
  <si>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</si>
  <si>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</si>
  <si>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</si>
  <si>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</si>
  <si>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</si>
  <si>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</si>
  <si>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</si>
  <si>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</si>
  <si>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</si>
  <si>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</si>
  <si>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</si>
  <si>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</si>
  <si>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</si>
  <si>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</si>
  <si>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</si>
  <si>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</si>
  <si>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</si>
  <si>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</si>
  <si>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</si>
  <si>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</si>
  <si>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</si>
  <si>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</si>
  <si>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</si>
  <si>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</si>
  <si>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</si>
  <si>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</si>
  <si>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</si>
  <si>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</si>
  <si>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</si>
  <si>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</si>
  <si>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</si>
  <si>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</si>
  <si>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</si>
  <si>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</si>
  <si>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</si>
  <si>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</si>
  <si>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</si>
  <si>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</si>
  <si>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</si>
  <si>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</si>
  <si>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</si>
  <si>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</si>
  <si>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</si>
  <si>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</si>
  <si>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</si>
  <si>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</si>
  <si>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</si>
  <si>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</si>
  <si>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</si>
  <si>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</si>
  <si>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</si>
  <si>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</si>
  <si>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</si>
  <si>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</si>
  <si>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</si>
  <si>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</si>
  <si>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</si>
  <si>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</si>
  <si>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</si>
  <si>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</si>
  <si>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</si>
  <si>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</si>
  <si>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</si>
  <si>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</si>
  <si>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</si>
  <si>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</si>
  <si>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</si>
  <si>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</si>
  <si>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</si>
  <si>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</si>
  <si>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</si>
  <si>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</si>
  <si>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</si>
  <si>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</si>
  <si>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</si>
  <si>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</si>
  <si>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</si>
  <si>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</si>
  <si>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</si>
  <si>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</si>
  <si>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</si>
  <si>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</si>
  <si>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</si>
  <si>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</si>
  <si>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</si>
  <si>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</si>
  <si>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</si>
  <si>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</si>
  <si>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</si>
  <si>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</si>
  <si>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</si>
  <si>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</si>
  <si>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</si>
  <si>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</si>
  <si>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</si>
  <si>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</si>
  <si>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</si>
  <si>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</si>
  <si>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</si>
  <si>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</si>
  <si>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</si>
  <si>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</si>
  <si>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</si>
  <si>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</si>
  <si>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</si>
  <si>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</si>
  <si>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</si>
  <si>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</si>
  <si>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</si>
  <si>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</si>
  <si>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</si>
  <si>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</si>
  <si>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</si>
  <si>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</si>
  <si>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</si>
  <si>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</si>
  <si>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</si>
  <si>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</si>
  <si>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</si>
  <si>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</si>
  <si>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</si>
  <si>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</si>
  <si>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</si>
  <si>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</si>
  <si>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</si>
  <si>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</si>
  <si>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</si>
  <si>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</si>
  <si>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</si>
  <si>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</si>
  <si>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</si>
  <si>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</si>
  <si>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</si>
  <si>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</si>
  <si>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</si>
  <si>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</si>
  <si>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</si>
  <si>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</si>
  <si>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</si>
  <si>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</si>
  <si>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</si>
  <si>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</si>
  <si>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</si>
  <si>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</si>
  <si>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</si>
  <si>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</si>
  <si>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</si>
  <si>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</si>
  <si>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</si>
  <si>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</si>
  <si>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mT</t>
  </si>
  <si>
    <t>(push-pull each coil)</t>
  </si>
  <si>
    <t>100/46 inches on bobbin</t>
  </si>
  <si>
    <t>dmax</t>
  </si>
  <si>
    <t>rt</t>
  </si>
  <si>
    <t>ct</t>
  </si>
  <si>
    <t>farads</t>
  </si>
  <si>
    <t>%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</si>
  <si>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</si>
  <si>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</si>
  <si>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</si>
  <si>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</si>
  <si>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</si>
  <si>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</si>
  <si>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</si>
  <si>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</si>
  <si>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</si>
  <si>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</si>
  <si>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</si>
  <si>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</si>
  <si>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</si>
  <si>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</si>
  <si>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</si>
  <si>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</si>
  <si>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</si>
  <si>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</si>
  <si>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</si>
  <si>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</si>
  <si>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</si>
  <si>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</si>
  <si>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</si>
  <si>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</si>
  <si>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</si>
  <si>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</si>
  <si>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</si>
  <si>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</si>
  <si>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</si>
  <si>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</si>
  <si>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</si>
  <si>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</si>
  <si>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</si>
  <si>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</si>
  <si>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</si>
  <si>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</si>
  <si>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</si>
  <si>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</si>
  <si>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</si>
  <si>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</si>
  <si>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</si>
  <si>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</si>
  <si>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</si>
  <si>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</si>
  <si>
    <t>60/46</t>
  </si>
  <si>
    <t>Window fill- PQ 20/20</t>
  </si>
  <si>
    <t>WIndow fill - PQ 20/16</t>
  </si>
  <si>
    <t>uc3825a</t>
  </si>
  <si>
    <t>T sm toroid</t>
  </si>
  <si>
    <t>T lg toroid</t>
  </si>
  <si>
    <t>Wire Table</t>
  </si>
  <si>
    <t>Battery</t>
  </si>
  <si>
    <t>3C</t>
  </si>
  <si>
    <t>4C</t>
  </si>
  <si>
    <t>low</t>
  </si>
  <si>
    <t>high</t>
  </si>
  <si>
    <t>Vp-p low</t>
  </si>
  <si>
    <t>Vp-p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</si>
</sst>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3" fillId="0" borderId="3" xfId="0" applyFont="1" applyBorder="1"/>
    <xf numFmtId="2" fontId="0" fillId="0" borderId="3" xfId="0" applyNumberFormat="1" applyBorder="1"/>
    <xf numFmtId="168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0" xfId="0" applyNumberFormat="1" applyBorder="1"/>
    <xf numFmtId="0" fontId="0" fillId="0" borderId="15" xfId="0" applyBorder="1"/>
    <xf numFmtId="1" fontId="0" fillId="0" borderId="0" xfId="0" applyNumberFormat="1" applyBorder="1"/>
    <xf numFmtId="0" fontId="0" fillId="0" borderId="16" xfId="0" applyBorder="1"/>
    <xf numFmtId="167" fontId="0" fillId="0" borderId="17" xfId="0" applyNumberFormat="1" applyBorder="1"/>
    <xf numFmtId="0" fontId="0" fillId="0" borderId="18" xfId="0" applyBorder="1"/>
    <xf numFmtId="11" fontId="0" fillId="0" borderId="17" xfId="0" applyNumberFormat="1" applyBorder="1"/>
    <xf numFmtId="1" fontId="0" fillId="0" borderId="17" xfId="0" applyNumberFormat="1" applyBorder="1"/>
    <xf numFmtId="0" fontId="0" fillId="0" borderId="17" xfId="0" applyBorder="1"/>
    <xf numFmtId="0" fontId="3" fillId="0" borderId="12" xfId="0" applyFont="1" applyBorder="1"/>
    <xf numFmtId="0" fontId="3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9" fontId="0" fillId="0" borderId="0" xfId="7" applyFont="1" applyBorder="1"/>
    <xf numFmtId="165" fontId="0" fillId="0" borderId="1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8" xfId="0" applyNumberFormat="1" applyBorder="1"/>
    <xf numFmtId="0" fontId="11" fillId="0" borderId="9" xfId="0" applyFont="1" applyBorder="1"/>
    <xf numFmtId="1" fontId="0" fillId="0" borderId="10" xfId="0" applyNumberFormat="1" applyBorder="1"/>
    <xf numFmtId="0" fontId="0" fillId="4" borderId="3" xfId="0" applyFill="1" applyBorder="1"/>
    <xf numFmtId="0" fontId="0" fillId="4" borderId="0" xfId="0" applyFill="1" applyBorder="1"/>
    <xf numFmtId="1" fontId="0" fillId="0" borderId="7" xfId="0" applyNumberFormat="1" applyBorder="1"/>
    <xf numFmtId="1" fontId="0" fillId="4" borderId="0" xfId="0" applyNumberFormat="1" applyFill="1" applyBorder="1"/>
    <xf numFmtId="165" fontId="0" fillId="0" borderId="7" xfId="0" applyNumberFormat="1" applyBorder="1"/>
    <xf numFmtId="165" fontId="0" fillId="4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2" fontId="0" fillId="0" borderId="7" xfId="0" applyNumberFormat="1" applyBorder="1"/>
    <xf numFmtId="2" fontId="0" fillId="4" borderId="0" xfId="0" applyNumberFormat="1" applyFill="1" applyBorder="1"/>
    <xf numFmtId="0" fontId="0" fillId="4" borderId="10" xfId="0" applyFill="1" applyBorder="1"/>
    <xf numFmtId="164" fontId="0" fillId="0" borderId="7" xfId="0" applyNumberFormat="1" applyBorder="1"/>
    <xf numFmtId="165" fontId="0" fillId="0" borderId="9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topLeftCell="A28" workbookViewId="0">
      <selection activeCell="N40" sqref="N40"/>
    </sheetView>
  </sheetViews>
  <sheetFormatPr baseColWidth="10" defaultRowHeight="16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>
      <c r="A2" s="18" t="s">
        <v>109</v>
      </c>
      <c r="F2">
        <f>1.1*10^-11</f>
        <v>1.1000000000000001E-11</v>
      </c>
      <c r="G2" t="s">
        <v>273</v>
      </c>
      <c r="H2" t="s">
        <v>300</v>
      </c>
      <c r="S2">
        <v>2</v>
      </c>
      <c r="T2" t="s">
        <v>147</v>
      </c>
    </row>
    <row r="3" spans="1:25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298</v>
      </c>
      <c r="H3" s="5">
        <f>F4*F3/F2</f>
        <v>181.81818181818181</v>
      </c>
      <c r="S3">
        <v>37</v>
      </c>
      <c r="T3" t="s">
        <v>150</v>
      </c>
      <c r="U3" s="2">
        <f>PI()*(S3/2)^2*S4</f>
        <v>7526.4705998377476</v>
      </c>
      <c r="V3" t="s">
        <v>153</v>
      </c>
    </row>
    <row r="4" spans="1:25">
      <c r="B4" s="7">
        <v>11</v>
      </c>
      <c r="C4" t="s">
        <v>65</v>
      </c>
      <c r="D4" t="s">
        <v>67</v>
      </c>
      <c r="F4">
        <f>1.25*10^-3</f>
        <v>1.25E-3</v>
      </c>
      <c r="G4" t="s">
        <v>299</v>
      </c>
      <c r="J4">
        <v>2.54</v>
      </c>
      <c r="S4">
        <v>7</v>
      </c>
      <c r="T4" t="s">
        <v>151</v>
      </c>
      <c r="U4" s="2">
        <f>S6*S4</f>
        <v>2908.3293990607508</v>
      </c>
      <c r="V4" t="s">
        <v>153</v>
      </c>
    </row>
    <row r="5" spans="1:25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152</v>
      </c>
      <c r="U5" s="2">
        <f>U3-U4</f>
        <v>4618.1412007769968</v>
      </c>
      <c r="V5" t="s">
        <v>153</v>
      </c>
    </row>
    <row r="6" spans="1:25">
      <c r="A6" s="18" t="s">
        <v>93</v>
      </c>
      <c r="I6">
        <v>0.28000000000000003</v>
      </c>
      <c r="J6">
        <v>0.38</v>
      </c>
      <c r="M6">
        <v>0.9</v>
      </c>
      <c r="O6" s="9"/>
      <c r="P6" s="9" t="s">
        <v>169</v>
      </c>
      <c r="S6" s="2">
        <f>PI()*(S5/2)^2</f>
        <v>415.47562843725012</v>
      </c>
      <c r="T6" t="s">
        <v>142</v>
      </c>
      <c r="U6">
        <v>5</v>
      </c>
      <c r="V6" t="s">
        <v>154</v>
      </c>
    </row>
    <row r="7" spans="1:25">
      <c r="B7" s="7">
        <v>750</v>
      </c>
      <c r="C7" t="s">
        <v>84</v>
      </c>
      <c r="E7" s="9" t="s">
        <v>91</v>
      </c>
      <c r="F7" s="9" t="s">
        <v>90</v>
      </c>
      <c r="G7" s="9" t="s">
        <v>88</v>
      </c>
      <c r="H7" s="9" t="s">
        <v>97</v>
      </c>
      <c r="I7" s="9" t="s">
        <v>134</v>
      </c>
      <c r="J7" s="9" t="s">
        <v>135</v>
      </c>
      <c r="K7" s="22" t="s">
        <v>163</v>
      </c>
      <c r="L7" s="9" t="s">
        <v>306</v>
      </c>
      <c r="M7" s="9" t="s">
        <v>164</v>
      </c>
      <c r="N7" s="9" t="s">
        <v>136</v>
      </c>
      <c r="O7" s="22" t="s">
        <v>161</v>
      </c>
      <c r="P7" s="22" t="s">
        <v>162</v>
      </c>
      <c r="Q7" s="9" t="s">
        <v>138</v>
      </c>
      <c r="R7" s="9" t="s">
        <v>140</v>
      </c>
      <c r="S7" s="9" t="s">
        <v>141</v>
      </c>
      <c r="U7" s="4">
        <f>U5/1000*U6</f>
        <v>23.090706003884982</v>
      </c>
      <c r="V7" s="12" t="s">
        <v>155</v>
      </c>
      <c r="W7" s="9" t="s">
        <v>165</v>
      </c>
      <c r="X7" s="9" t="s">
        <v>168</v>
      </c>
      <c r="Y7" s="7" t="s">
        <v>170</v>
      </c>
    </row>
    <row r="8" spans="1:25">
      <c r="B8" s="7">
        <v>17</v>
      </c>
      <c r="C8" t="s">
        <v>111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7">
        <v>17</v>
      </c>
      <c r="L8">
        <v>19</v>
      </c>
      <c r="O8" s="7"/>
      <c r="P8" s="22"/>
      <c r="W8" s="9"/>
      <c r="X8" s="9"/>
      <c r="Y8" s="7"/>
    </row>
    <row r="9" spans="1:25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/>
      <c r="M9" s="9" t="s">
        <v>167</v>
      </c>
      <c r="N9" s="9" t="s">
        <v>137</v>
      </c>
      <c r="O9" s="22" t="s">
        <v>137</v>
      </c>
      <c r="P9" s="22" t="s">
        <v>166</v>
      </c>
      <c r="Q9" s="9" t="s">
        <v>139</v>
      </c>
      <c r="R9" s="9" t="s">
        <v>139</v>
      </c>
      <c r="S9" s="9" t="s">
        <v>145</v>
      </c>
      <c r="U9">
        <v>32</v>
      </c>
      <c r="V9" s="9" t="s">
        <v>156</v>
      </c>
      <c r="W9" s="9" t="s">
        <v>167</v>
      </c>
      <c r="X9" s="9" t="s">
        <v>166</v>
      </c>
      <c r="Y9" s="7"/>
    </row>
    <row r="10" spans="1:25">
      <c r="B10" s="2">
        <f>B35*B50* B9</f>
        <v>13.387500000000003</v>
      </c>
      <c r="C10" t="s">
        <v>95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143</v>
      </c>
      <c r="U10">
        <f>N15*U9</f>
        <v>6400</v>
      </c>
      <c r="V10" t="s">
        <v>157</v>
      </c>
      <c r="W10">
        <v>0.75</v>
      </c>
      <c r="X10">
        <v>1.87</v>
      </c>
      <c r="Y10" s="7"/>
    </row>
    <row r="11" spans="1:25">
      <c r="B11" s="7">
        <v>1.93</v>
      </c>
      <c r="C11" t="s">
        <v>112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3">
        <f>O10/25.4</f>
        <v>2.598425196850394E-2</v>
      </c>
      <c r="P11" s="23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144</v>
      </c>
      <c r="U11" s="5">
        <f>Q15*U9</f>
        <v>256</v>
      </c>
      <c r="V11" t="s">
        <v>158</v>
      </c>
      <c r="Y11" s="7">
        <v>0.13</v>
      </c>
    </row>
    <row r="12" spans="1:25">
      <c r="B12" s="5">
        <f>PI() * B11 * B7</f>
        <v>4547.4553660712254</v>
      </c>
      <c r="C12" t="s">
        <v>96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1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130</v>
      </c>
      <c r="U12" s="5">
        <f>U10/25.4</f>
        <v>251.96850393700788</v>
      </c>
      <c r="V12" t="s">
        <v>3</v>
      </c>
      <c r="Y12" s="7"/>
    </row>
    <row r="13" spans="1:25">
      <c r="B13" s="5">
        <f>B12/12</f>
        <v>378.9546138392688</v>
      </c>
      <c r="C13" t="s">
        <v>92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159</v>
      </c>
      <c r="U13" s="5">
        <f>U11/25.4</f>
        <v>10.078740157480315</v>
      </c>
      <c r="V13" t="s">
        <v>3</v>
      </c>
      <c r="Y13" s="7"/>
    </row>
    <row r="14" spans="1:25">
      <c r="B14">
        <v>121.5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L14">
        <v>71.599999999999994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160</v>
      </c>
    </row>
    <row r="15" spans="1:25">
      <c r="B15" s="5">
        <f>(B12/12000)*B14</f>
        <v>46.042985581471157</v>
      </c>
      <c r="C15" t="s">
        <v>86</v>
      </c>
      <c r="E15" s="1"/>
      <c r="K15" s="7">
        <v>98.8</v>
      </c>
      <c r="L15" t="s">
        <v>130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149</v>
      </c>
    </row>
    <row r="16" spans="1:25">
      <c r="E16" s="1"/>
      <c r="K16" s="7">
        <v>121.5</v>
      </c>
      <c r="L16" t="s">
        <v>318</v>
      </c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142</v>
      </c>
    </row>
    <row r="17" spans="1:20">
      <c r="B17" s="2">
        <f>(0.29*B10+(0.41*(B45/2))+(1.94*SQRT(((B45/2)^3)/B10)))</f>
        <v>4.7806486944273656</v>
      </c>
      <c r="C17" t="s">
        <v>54</v>
      </c>
      <c r="D17" t="s">
        <v>55</v>
      </c>
      <c r="E17" s="45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148</v>
      </c>
    </row>
    <row r="18" spans="1:20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0">
        <f>M17/$S6</f>
        <v>0.61247637051039705</v>
      </c>
      <c r="N18" s="20">
        <f>N17/$S6</f>
        <v>0.34964083175803412</v>
      </c>
      <c r="O18" s="20">
        <f t="shared" ref="O18:P18" si="8">O17/$S6</f>
        <v>0.32937618147448022</v>
      </c>
      <c r="P18" s="20">
        <f t="shared" si="8"/>
        <v>0.30623818525519847</v>
      </c>
      <c r="Q18" s="20">
        <f t="shared" ref="Q18:S18" si="9">Q17/$S6</f>
        <v>0.32937618147448011</v>
      </c>
      <c r="R18" s="20">
        <f t="shared" si="9"/>
        <v>0.32937618147448011</v>
      </c>
      <c r="S18" s="20">
        <f t="shared" si="9"/>
        <v>0.18903591682419663</v>
      </c>
      <c r="T18" t="s">
        <v>146</v>
      </c>
    </row>
    <row r="19" spans="1:20">
      <c r="M19" s="10">
        <v>28.7</v>
      </c>
      <c r="O19">
        <v>42</v>
      </c>
      <c r="P19">
        <v>4</v>
      </c>
      <c r="T19" t="s">
        <v>85</v>
      </c>
    </row>
    <row r="20" spans="1:20">
      <c r="B20" s="15">
        <f>((((B7^2) * ((B11/2)^2)) /(( 9 * (B11/2)) + ( 10 * B10))))</f>
        <v>3674.3410669191912</v>
      </c>
      <c r="C20" t="s">
        <v>57</v>
      </c>
      <c r="D20" t="s">
        <v>55</v>
      </c>
      <c r="E20" t="s">
        <v>61</v>
      </c>
      <c r="K20" s="17" t="s">
        <v>114</v>
      </c>
      <c r="L20" s="17"/>
    </row>
    <row r="21" spans="1:20">
      <c r="B21" s="8">
        <v>4355.4007000000001</v>
      </c>
      <c r="C21" t="s">
        <v>57</v>
      </c>
      <c r="D21" t="s">
        <v>58</v>
      </c>
      <c r="E21" t="s">
        <v>59</v>
      </c>
      <c r="K21" s="19">
        <f>B51/299800000</f>
        <v>3.8527473748568757E-7</v>
      </c>
      <c r="L21" t="s">
        <v>36</v>
      </c>
    </row>
    <row r="22" spans="1:20">
      <c r="K22">
        <v>4</v>
      </c>
      <c r="L22" t="s">
        <v>37</v>
      </c>
    </row>
    <row r="23" spans="1:20">
      <c r="B23" s="16">
        <f>1/(2*PI() * SQRT( (B20*0.000001) * ((B18+B4)*0.000000000001) ) )</f>
        <v>639013.77227889106</v>
      </c>
      <c r="C23" t="s">
        <v>63</v>
      </c>
      <c r="D23" t="s">
        <v>39</v>
      </c>
      <c r="E23" t="s">
        <v>68</v>
      </c>
      <c r="K23" s="19">
        <f>K21*SQRT(K22)</f>
        <v>7.7054947497137513E-7</v>
      </c>
      <c r="L23" t="s">
        <v>38</v>
      </c>
    </row>
    <row r="24" spans="1:20">
      <c r="B24" s="2">
        <f>2000000*PI() * SQRT( (B20*0.000001) * ((B18+B4)*0.000000000001) )</f>
        <v>1.5649114985953076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>
      <c r="B25" s="5">
        <f xml:space="preserve"> 2*PI()*B23</f>
        <v>4015041.9450681303</v>
      </c>
      <c r="C25" t="s">
        <v>81</v>
      </c>
      <c r="K25" s="5">
        <f>K24*2</f>
        <v>648887.60065481102</v>
      </c>
      <c r="N25" t="s">
        <v>47</v>
      </c>
    </row>
    <row r="27" spans="1:20">
      <c r="B27" s="16">
        <f>B25*(B20/1000000)</f>
        <v>14752.633504166939</v>
      </c>
      <c r="C27" t="s">
        <v>82</v>
      </c>
    </row>
    <row r="28" spans="1:20">
      <c r="B28" s="16">
        <f>1/(B25*((B18+B4)/1000000000000))</f>
        <v>14752.633504166934</v>
      </c>
      <c r="C28" t="s">
        <v>83</v>
      </c>
    </row>
    <row r="30" spans="1:20">
      <c r="B30" s="14">
        <f>B27/B15</f>
        <v>320.4100107292731</v>
      </c>
      <c r="C30" t="s">
        <v>87</v>
      </c>
      <c r="D30" t="s">
        <v>113</v>
      </c>
    </row>
    <row r="31" spans="1:20">
      <c r="B31" s="4"/>
    </row>
    <row r="32" spans="1:20">
      <c r="A32" s="18" t="s">
        <v>94</v>
      </c>
      <c r="C32" t="s">
        <v>163</v>
      </c>
      <c r="E32" s="9" t="s">
        <v>91</v>
      </c>
      <c r="F32" s="9" t="s">
        <v>90</v>
      </c>
      <c r="G32" s="9" t="s">
        <v>88</v>
      </c>
      <c r="H32" s="9" t="s">
        <v>97</v>
      </c>
      <c r="I32" s="9" t="s">
        <v>134</v>
      </c>
      <c r="J32" s="9" t="s">
        <v>135</v>
      </c>
      <c r="K32" s="9" t="s">
        <v>163</v>
      </c>
      <c r="L32" s="9" t="s">
        <v>319</v>
      </c>
    </row>
    <row r="33" spans="2:12">
      <c r="B33">
        <v>0.34799999999999998</v>
      </c>
      <c r="C33" t="s">
        <v>89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  <c r="L33">
        <v>0.52</v>
      </c>
    </row>
    <row r="34" spans="2:1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133</v>
      </c>
    </row>
    <row r="35" spans="2:12">
      <c r="B35">
        <f>B8/1000</f>
        <v>1.7000000000000001E-2</v>
      </c>
      <c r="C35" t="s">
        <v>3</v>
      </c>
      <c r="D35" t="s">
        <v>4</v>
      </c>
    </row>
    <row r="37" spans="2:12">
      <c r="B37" s="1">
        <f>454/(B34*(2.54*0.12))</f>
        <v>0.51834645669291335</v>
      </c>
      <c r="C37" t="s">
        <v>13</v>
      </c>
    </row>
    <row r="39" spans="2:12">
      <c r="B39" t="s">
        <v>0</v>
      </c>
      <c r="D39" t="s">
        <v>42</v>
      </c>
    </row>
    <row r="40" spans="2:12">
      <c r="B40">
        <v>1.27</v>
      </c>
      <c r="C40" t="s">
        <v>34</v>
      </c>
      <c r="D40" t="s">
        <v>6</v>
      </c>
    </row>
    <row r="42" spans="2:12">
      <c r="B42">
        <v>1.7000000000000001E-2</v>
      </c>
      <c r="C42" t="s">
        <v>3</v>
      </c>
      <c r="D42" t="s">
        <v>1</v>
      </c>
    </row>
    <row r="43" spans="2:12">
      <c r="B43">
        <f>B42*25.4</f>
        <v>0.43180000000000002</v>
      </c>
      <c r="C43" t="s">
        <v>2</v>
      </c>
    </row>
    <row r="44" spans="2:1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660.60214111159428</v>
      </c>
      <c r="K44" t="s">
        <v>21</v>
      </c>
    </row>
    <row r="45" spans="2:12">
      <c r="B45">
        <f>B11</f>
        <v>1.93</v>
      </c>
      <c r="C45" t="s">
        <v>3</v>
      </c>
      <c r="D45" t="s">
        <v>4</v>
      </c>
      <c r="J45" s="1">
        <f>J44/1000</f>
        <v>0.66060214111159432</v>
      </c>
    </row>
    <row r="46" spans="2:12">
      <c r="B46">
        <v>350</v>
      </c>
      <c r="C46" t="s">
        <v>2</v>
      </c>
      <c r="D46" t="s">
        <v>62</v>
      </c>
      <c r="E46" s="2">
        <f>B46/25.4</f>
        <v>13.779527559055119</v>
      </c>
      <c r="F46" t="s">
        <v>7</v>
      </c>
      <c r="J46" s="4">
        <f>B65*J45</f>
        <v>10.591358206600455</v>
      </c>
      <c r="K46" t="s">
        <v>221</v>
      </c>
    </row>
    <row r="47" spans="2:12">
      <c r="B47" s="2">
        <f>PI() * B44*B43*B46/1000</f>
        <v>23.275101344864463</v>
      </c>
      <c r="C47" t="s">
        <v>21</v>
      </c>
      <c r="D47" t="s">
        <v>22</v>
      </c>
    </row>
    <row r="48" spans="2:12">
      <c r="B48" s="2">
        <f>B47*B40</f>
        <v>29.559378707977871</v>
      </c>
      <c r="C48" t="s">
        <v>9</v>
      </c>
      <c r="D48" t="s">
        <v>33</v>
      </c>
    </row>
    <row r="49" spans="2:11">
      <c r="I49" s="2"/>
    </row>
    <row r="50" spans="2:11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>
      <c r="B51" s="2">
        <f>PI() * B44 *B50/1000</f>
        <v>115.50536629820913</v>
      </c>
      <c r="C51" t="s">
        <v>11</v>
      </c>
      <c r="D51" t="s">
        <v>35</v>
      </c>
      <c r="G51" t="s">
        <v>174</v>
      </c>
      <c r="H51" t="s">
        <v>173</v>
      </c>
      <c r="I51" t="s">
        <v>172</v>
      </c>
      <c r="J51">
        <v>8</v>
      </c>
      <c r="K51" t="s">
        <v>9</v>
      </c>
    </row>
    <row r="52" spans="2:11">
      <c r="G52" t="s">
        <v>177</v>
      </c>
      <c r="H52" t="s">
        <v>176</v>
      </c>
      <c r="I52" t="s">
        <v>175</v>
      </c>
      <c r="J52">
        <v>600</v>
      </c>
      <c r="K52" t="s">
        <v>171</v>
      </c>
    </row>
    <row r="53" spans="2:11">
      <c r="B53" s="2">
        <f>B37*B51</f>
        <v>59.87179734969375</v>
      </c>
      <c r="C53" t="s">
        <v>9</v>
      </c>
      <c r="D53" t="s">
        <v>32</v>
      </c>
    </row>
    <row r="55" spans="2:11">
      <c r="B55" s="2">
        <f>B53+B48</f>
        <v>89.431176057671621</v>
      </c>
      <c r="C55" t="s">
        <v>9</v>
      </c>
      <c r="D55" t="s">
        <v>14</v>
      </c>
      <c r="G55" s="2">
        <f>B55</f>
        <v>89.431176057671621</v>
      </c>
    </row>
    <row r="57" spans="2:11">
      <c r="B57">
        <v>91</v>
      </c>
      <c r="C57" t="s">
        <v>9</v>
      </c>
      <c r="D57" t="s">
        <v>316</v>
      </c>
      <c r="G57" s="2">
        <f>B57</f>
        <v>91</v>
      </c>
    </row>
    <row r="58" spans="2:11">
      <c r="G58" s="2"/>
    </row>
    <row r="59" spans="2:11">
      <c r="B59">
        <v>40</v>
      </c>
      <c r="C59" t="s">
        <v>9</v>
      </c>
      <c r="D59" t="s">
        <v>116</v>
      </c>
      <c r="G59" s="2">
        <v>40</v>
      </c>
    </row>
    <row r="61" spans="2:11">
      <c r="B61">
        <v>27</v>
      </c>
      <c r="C61" t="s">
        <v>9</v>
      </c>
      <c r="D61" t="s">
        <v>15</v>
      </c>
      <c r="G61" s="2">
        <f>B61</f>
        <v>27</v>
      </c>
    </row>
    <row r="62" spans="2:11">
      <c r="I62" t="s">
        <v>231</v>
      </c>
    </row>
    <row r="63" spans="2:11">
      <c r="B63">
        <v>20</v>
      </c>
      <c r="C63" t="s">
        <v>9</v>
      </c>
      <c r="D63" t="s">
        <v>115</v>
      </c>
      <c r="G63">
        <f>B63</f>
        <v>20</v>
      </c>
      <c r="I63" s="3" t="s">
        <v>16</v>
      </c>
    </row>
    <row r="65" spans="1:1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220</v>
      </c>
      <c r="J66">
        <v>1.2</v>
      </c>
      <c r="K66" s="4">
        <f>J66*L$66/L$65</f>
        <v>19.239462086111423</v>
      </c>
      <c r="L66">
        <v>454</v>
      </c>
    </row>
    <row r="67" spans="1:12">
      <c r="B67">
        <v>30</v>
      </c>
      <c r="C67" t="s">
        <v>130</v>
      </c>
      <c r="D67" t="s">
        <v>232</v>
      </c>
      <c r="E67">
        <v>4</v>
      </c>
      <c r="F67">
        <v>0.7</v>
      </c>
      <c r="I67" t="s">
        <v>227</v>
      </c>
      <c r="J67">
        <v>0.75</v>
      </c>
      <c r="K67" s="4">
        <f t="shared" ref="K67:K68" si="10">J67*L$66/L$65</f>
        <v>12.024663803819641</v>
      </c>
    </row>
    <row r="68" spans="1:12">
      <c r="B68">
        <f>B67*E67*F67</f>
        <v>84</v>
      </c>
      <c r="C68" t="s">
        <v>17</v>
      </c>
      <c r="D68" t="s">
        <v>18</v>
      </c>
      <c r="I68" t="s">
        <v>226</v>
      </c>
      <c r="J68">
        <v>1</v>
      </c>
      <c r="K68" s="4">
        <f t="shared" si="10"/>
        <v>16.032885071759519</v>
      </c>
    </row>
    <row r="69" spans="1:12">
      <c r="B69">
        <f>B68*B66</f>
        <v>12600</v>
      </c>
      <c r="C69" t="s">
        <v>21</v>
      </c>
      <c r="D69" t="s">
        <v>22</v>
      </c>
    </row>
    <row r="70" spans="1:12">
      <c r="B70">
        <f>B69/1000</f>
        <v>12.6</v>
      </c>
      <c r="C70" t="s">
        <v>25</v>
      </c>
    </row>
    <row r="71" spans="1:12">
      <c r="B71" s="2">
        <f>B65*B70</f>
        <v>202.01435190416993</v>
      </c>
      <c r="C71" t="s">
        <v>9</v>
      </c>
      <c r="D71" t="s">
        <v>24</v>
      </c>
    </row>
    <row r="72" spans="1:12">
      <c r="G72" s="2">
        <f>B71</f>
        <v>202.01435190416993</v>
      </c>
    </row>
    <row r="74" spans="1:12">
      <c r="B74">
        <v>20</v>
      </c>
      <c r="C74" t="s">
        <v>9</v>
      </c>
      <c r="D74" t="s">
        <v>117</v>
      </c>
      <c r="G74">
        <v>20</v>
      </c>
    </row>
    <row r="76" spans="1:12">
      <c r="B76">
        <v>40</v>
      </c>
      <c r="C76" t="s">
        <v>9</v>
      </c>
      <c r="D76" t="s">
        <v>118</v>
      </c>
      <c r="G76">
        <f>B76</f>
        <v>40</v>
      </c>
    </row>
    <row r="78" spans="1:12">
      <c r="A78" s="17" t="s">
        <v>108</v>
      </c>
    </row>
    <row r="79" spans="1:12">
      <c r="B79">
        <f>H83</f>
        <v>1.6</v>
      </c>
      <c r="C79" t="s">
        <v>26</v>
      </c>
      <c r="D79" t="s">
        <v>222</v>
      </c>
    </row>
    <row r="80" spans="1:12">
      <c r="B80" s="2">
        <f>B79*1000/9.8</f>
        <v>163.26530612244898</v>
      </c>
      <c r="C80" t="s">
        <v>48</v>
      </c>
      <c r="G80" t="s">
        <v>229</v>
      </c>
    </row>
    <row r="81" spans="1:9">
      <c r="G81" t="s">
        <v>180</v>
      </c>
      <c r="H81" s="29">
        <v>25</v>
      </c>
      <c r="I81" t="s">
        <v>130</v>
      </c>
    </row>
    <row r="82" spans="1:9">
      <c r="B82" s="2">
        <f>SUM(G55:G76)</f>
        <v>529.44552796184155</v>
      </c>
      <c r="C82" t="s">
        <v>9</v>
      </c>
      <c r="D82" t="s">
        <v>31</v>
      </c>
      <c r="G82" t="s">
        <v>181</v>
      </c>
      <c r="H82" s="29">
        <v>100</v>
      </c>
      <c r="I82" t="s">
        <v>130</v>
      </c>
    </row>
    <row r="83" spans="1:9">
      <c r="G83" t="s">
        <v>182</v>
      </c>
      <c r="H83" s="29">
        <v>1.6</v>
      </c>
      <c r="I83" t="s">
        <v>26</v>
      </c>
    </row>
    <row r="84" spans="1:9">
      <c r="B84" s="2">
        <f>B80/B82</f>
        <v>0.30837035634422416</v>
      </c>
      <c r="D84" t="s">
        <v>27</v>
      </c>
      <c r="G84" t="s">
        <v>183</v>
      </c>
      <c r="H84" s="29">
        <v>60</v>
      </c>
      <c r="I84" t="s">
        <v>120</v>
      </c>
    </row>
    <row r="85" spans="1:9">
      <c r="G85" t="s">
        <v>184</v>
      </c>
      <c r="H85" s="29">
        <v>0.8</v>
      </c>
      <c r="I85" t="s">
        <v>178</v>
      </c>
    </row>
    <row r="86" spans="1:9">
      <c r="B86">
        <f>B66*B67</f>
        <v>4500</v>
      </c>
      <c r="C86" t="s">
        <v>17</v>
      </c>
      <c r="D86" t="s">
        <v>28</v>
      </c>
      <c r="G86" t="s">
        <v>185</v>
      </c>
      <c r="H86" s="29">
        <v>75</v>
      </c>
      <c r="I86" t="s">
        <v>179</v>
      </c>
    </row>
    <row r="88" spans="1:9">
      <c r="B88" s="1">
        <f>B82/B86</f>
        <v>0.11765456176929812</v>
      </c>
      <c r="C88" t="s">
        <v>29</v>
      </c>
      <c r="D88" t="s">
        <v>30</v>
      </c>
    </row>
    <row r="90" spans="1:9">
      <c r="B90" s="2">
        <f>B82/30</f>
        <v>17.648184265394718</v>
      </c>
      <c r="C90" t="s">
        <v>49</v>
      </c>
    </row>
    <row r="91" spans="1:9">
      <c r="B91" s="2">
        <f>B86/2.54^2</f>
        <v>697.50139500278999</v>
      </c>
      <c r="C91" t="s">
        <v>50</v>
      </c>
    </row>
    <row r="93" spans="1:9">
      <c r="B93" s="2">
        <f>B90/(B91/144)</f>
        <v>3.643488819411858</v>
      </c>
      <c r="C93" t="s">
        <v>51</v>
      </c>
      <c r="D93" t="s">
        <v>30</v>
      </c>
      <c r="F93" s="2">
        <f>B93/16</f>
        <v>0.22771805121324112</v>
      </c>
      <c r="G93" t="s">
        <v>228</v>
      </c>
    </row>
    <row r="94" spans="1:9">
      <c r="B94" s="4">
        <f>B90/(B91/144)^1.5</f>
        <v>1.6554884188545633</v>
      </c>
      <c r="C94" t="s">
        <v>52</v>
      </c>
      <c r="D94" t="s">
        <v>53</v>
      </c>
    </row>
    <row r="96" spans="1:9">
      <c r="A96" s="17" t="s">
        <v>107</v>
      </c>
    </row>
    <row r="97" spans="2:5">
      <c r="B97">
        <v>454</v>
      </c>
      <c r="C97" t="s">
        <v>70</v>
      </c>
      <c r="D97">
        <v>1</v>
      </c>
      <c r="E97" t="s">
        <v>76</v>
      </c>
    </row>
    <row r="98" spans="2:5">
      <c r="B98">
        <f>B97/454</f>
        <v>1</v>
      </c>
      <c r="C98" t="s">
        <v>71</v>
      </c>
    </row>
    <row r="99" spans="2:5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>
      <c r="B100">
        <v>1</v>
      </c>
      <c r="C100" t="s">
        <v>72</v>
      </c>
    </row>
    <row r="101" spans="2:5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>
      <c r="C103" t="s">
        <v>230</v>
      </c>
    </row>
    <row r="104" spans="2:5">
      <c r="B104" s="6">
        <v>35.314999999999998</v>
      </c>
      <c r="C104" t="s">
        <v>46</v>
      </c>
    </row>
    <row r="105" spans="2:5">
      <c r="B105">
        <v>1</v>
      </c>
      <c r="C105" t="s">
        <v>43</v>
      </c>
    </row>
    <row r="106" spans="2:5">
      <c r="B106">
        <f>B105*0.454</f>
        <v>0.45400000000000001</v>
      </c>
      <c r="C106" t="s">
        <v>44</v>
      </c>
    </row>
    <row r="107" spans="2:5">
      <c r="B107" s="2">
        <f>B106*B104</f>
        <v>16.033010000000001</v>
      </c>
      <c r="C107" t="s">
        <v>45</v>
      </c>
    </row>
    <row r="110" spans="2:5">
      <c r="B110">
        <v>0.3</v>
      </c>
      <c r="C110" t="s">
        <v>78</v>
      </c>
    </row>
    <row r="111" spans="2:5">
      <c r="B111">
        <v>5</v>
      </c>
      <c r="C111" t="s">
        <v>79</v>
      </c>
    </row>
    <row r="112" spans="2:5">
      <c r="B112" s="4">
        <f>PI()* (B110^2) * B111</f>
        <v>1.4137166941154069</v>
      </c>
      <c r="C112" t="s">
        <v>21</v>
      </c>
    </row>
    <row r="113" spans="2:4">
      <c r="B113">
        <v>16</v>
      </c>
    </row>
    <row r="114" spans="2:4">
      <c r="B114" s="2">
        <f>B112*B113</f>
        <v>22.61946710584651</v>
      </c>
      <c r="C114" t="s">
        <v>80</v>
      </c>
    </row>
    <row r="116" spans="2:4">
      <c r="B116">
        <v>1.2</v>
      </c>
      <c r="C116" t="s">
        <v>45</v>
      </c>
      <c r="D116" t="s">
        <v>234</v>
      </c>
    </row>
    <row r="117" spans="2:4">
      <c r="B117" s="1">
        <f>(B116/0.454)/((1/0.0254)/12)^3</f>
        <v>7.4846290551541836E-2</v>
      </c>
      <c r="C117" t="s">
        <v>43</v>
      </c>
    </row>
    <row r="119" spans="2:4">
      <c r="B119" s="30">
        <f>1/B117</f>
        <v>13.360715576296519</v>
      </c>
      <c r="C119" t="s">
        <v>235</v>
      </c>
    </row>
  </sheetData>
  <hyperlinks>
    <hyperlink ref="E17" r:id="rId1" xr:uid="{982F6BD9-0C86-C144-8943-34BF5C65E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/>
  <sheetData>
    <row r="1" spans="1:3">
      <c r="A1" t="s">
        <v>233</v>
      </c>
    </row>
    <row r="2" spans="1:3">
      <c r="B2">
        <v>5.3</v>
      </c>
    </row>
    <row r="3" spans="1:3">
      <c r="A3" t="s">
        <v>130</v>
      </c>
      <c r="B3" t="s">
        <v>237</v>
      </c>
      <c r="C3" t="s">
        <v>1</v>
      </c>
    </row>
    <row r="4" spans="1:3">
      <c r="A4">
        <v>1</v>
      </c>
      <c r="B4">
        <f>(B$2-C4)/2</f>
        <v>2.4</v>
      </c>
      <c r="C4">
        <v>0.5</v>
      </c>
    </row>
    <row r="5" spans="1:3">
      <c r="A5">
        <v>2</v>
      </c>
      <c r="B5">
        <f t="shared" ref="B5:B33" si="0">(B$2-C5)/2</f>
        <v>1.9</v>
      </c>
      <c r="C5">
        <v>1.5</v>
      </c>
    </row>
    <row r="6" spans="1:3">
      <c r="A6">
        <v>3</v>
      </c>
      <c r="B6">
        <f t="shared" si="0"/>
        <v>1.4</v>
      </c>
      <c r="C6">
        <v>2.5</v>
      </c>
    </row>
    <row r="7" spans="1:3">
      <c r="A7">
        <v>4</v>
      </c>
      <c r="B7">
        <f t="shared" si="0"/>
        <v>1.1499999999999999</v>
      </c>
      <c r="C7">
        <v>3</v>
      </c>
    </row>
    <row r="8" spans="1:3">
      <c r="A8">
        <v>5</v>
      </c>
      <c r="B8">
        <f t="shared" si="0"/>
        <v>0.89999999999999991</v>
      </c>
      <c r="C8">
        <v>3.5</v>
      </c>
    </row>
    <row r="9" spans="1:3">
      <c r="A9">
        <v>6</v>
      </c>
      <c r="B9">
        <f t="shared" si="0"/>
        <v>0.64999999999999991</v>
      </c>
      <c r="C9">
        <v>4</v>
      </c>
    </row>
    <row r="10" spans="1:3">
      <c r="A10">
        <v>7</v>
      </c>
      <c r="B10">
        <f t="shared" si="0"/>
        <v>0.39999999999999991</v>
      </c>
      <c r="C10">
        <v>4.5</v>
      </c>
    </row>
    <row r="11" spans="1:3">
      <c r="A11">
        <v>8</v>
      </c>
      <c r="B11">
        <f t="shared" si="0"/>
        <v>0.25</v>
      </c>
      <c r="C11">
        <v>4.8</v>
      </c>
    </row>
    <row r="12" spans="1:3">
      <c r="A12">
        <v>9</v>
      </c>
      <c r="B12">
        <f t="shared" si="0"/>
        <v>0.14999999999999991</v>
      </c>
      <c r="C12">
        <v>5</v>
      </c>
    </row>
    <row r="13" spans="1:3">
      <c r="A13">
        <v>10</v>
      </c>
      <c r="B13">
        <f t="shared" si="0"/>
        <v>0.10000000000000009</v>
      </c>
      <c r="C13">
        <v>5.0999999999999996</v>
      </c>
    </row>
    <row r="14" spans="1:3">
      <c r="A14">
        <v>11</v>
      </c>
      <c r="B14">
        <f t="shared" si="0"/>
        <v>4.9999999999999822E-2</v>
      </c>
      <c r="C14">
        <v>5.2</v>
      </c>
    </row>
    <row r="15" spans="1:3">
      <c r="A15">
        <v>12</v>
      </c>
      <c r="B15">
        <f t="shared" si="0"/>
        <v>0</v>
      </c>
      <c r="C15">
        <v>5.3</v>
      </c>
    </row>
    <row r="16" spans="1:3">
      <c r="A16">
        <v>13</v>
      </c>
      <c r="B16">
        <f t="shared" si="0"/>
        <v>4.9999999999999822E-2</v>
      </c>
      <c r="C16">
        <v>5.2</v>
      </c>
    </row>
    <row r="17" spans="1:3">
      <c r="A17">
        <v>14</v>
      </c>
      <c r="B17">
        <f t="shared" si="0"/>
        <v>0.10000000000000009</v>
      </c>
      <c r="C17">
        <v>5.0999999999999996</v>
      </c>
    </row>
    <row r="18" spans="1:3">
      <c r="A18">
        <v>15</v>
      </c>
      <c r="B18">
        <f t="shared" si="0"/>
        <v>0.14999999999999991</v>
      </c>
      <c r="C18">
        <v>5</v>
      </c>
    </row>
    <row r="19" spans="1:3">
      <c r="A19">
        <v>16</v>
      </c>
      <c r="B19">
        <f t="shared" si="0"/>
        <v>0.19999999999999973</v>
      </c>
      <c r="C19">
        <v>4.9000000000000004</v>
      </c>
    </row>
    <row r="20" spans="1:3">
      <c r="A20">
        <v>17</v>
      </c>
      <c r="B20">
        <f t="shared" si="0"/>
        <v>0.25</v>
      </c>
      <c r="C20">
        <v>4.8</v>
      </c>
    </row>
    <row r="21" spans="1:3">
      <c r="A21">
        <v>18</v>
      </c>
      <c r="B21">
        <f t="shared" si="0"/>
        <v>0.35000000000000009</v>
      </c>
      <c r="C21">
        <v>4.5999999999999996</v>
      </c>
    </row>
    <row r="22" spans="1:3">
      <c r="A22">
        <v>19</v>
      </c>
      <c r="B22">
        <f t="shared" si="0"/>
        <v>0.5</v>
      </c>
      <c r="C22">
        <v>4.3</v>
      </c>
    </row>
    <row r="23" spans="1:3">
      <c r="A23">
        <v>20</v>
      </c>
      <c r="B23">
        <f t="shared" si="0"/>
        <v>0.64999999999999991</v>
      </c>
      <c r="C23">
        <v>4</v>
      </c>
    </row>
    <row r="24" spans="1:3">
      <c r="A24">
        <v>21</v>
      </c>
      <c r="B24">
        <f t="shared" si="0"/>
        <v>0.79999999999999982</v>
      </c>
      <c r="C24">
        <v>3.7</v>
      </c>
    </row>
    <row r="25" spans="1:3">
      <c r="A25">
        <v>22</v>
      </c>
      <c r="B25">
        <f t="shared" si="0"/>
        <v>0.95</v>
      </c>
      <c r="C25">
        <v>3.4</v>
      </c>
    </row>
    <row r="26" spans="1:3">
      <c r="A26">
        <v>23</v>
      </c>
      <c r="B26">
        <f t="shared" si="0"/>
        <v>1.1499999999999999</v>
      </c>
      <c r="C26">
        <v>3</v>
      </c>
    </row>
    <row r="27" spans="1:3">
      <c r="A27">
        <v>24</v>
      </c>
      <c r="B27">
        <f t="shared" si="0"/>
        <v>1.3499999999999999</v>
      </c>
      <c r="C27">
        <v>2.6</v>
      </c>
    </row>
    <row r="28" spans="1:3">
      <c r="A28">
        <v>25</v>
      </c>
      <c r="B28">
        <f t="shared" si="0"/>
        <v>1.5499999999999998</v>
      </c>
      <c r="C28">
        <v>2.2000000000000002</v>
      </c>
    </row>
    <row r="29" spans="1:3">
      <c r="A29">
        <v>26</v>
      </c>
      <c r="B29">
        <f t="shared" si="0"/>
        <v>1.75</v>
      </c>
      <c r="C29">
        <v>1.8</v>
      </c>
    </row>
    <row r="30" spans="1:3">
      <c r="A30">
        <v>27</v>
      </c>
      <c r="B30">
        <f t="shared" si="0"/>
        <v>1.95</v>
      </c>
      <c r="C30">
        <v>1.4</v>
      </c>
    </row>
    <row r="31" spans="1:3">
      <c r="A31">
        <v>28</v>
      </c>
      <c r="B31">
        <f t="shared" si="0"/>
        <v>2.15</v>
      </c>
      <c r="C31">
        <v>1</v>
      </c>
    </row>
    <row r="32" spans="1:3">
      <c r="A32">
        <v>29</v>
      </c>
      <c r="B32">
        <f t="shared" si="0"/>
        <v>2.35</v>
      </c>
      <c r="C32">
        <v>0.6</v>
      </c>
    </row>
    <row r="33" spans="1:4">
      <c r="A33">
        <v>30</v>
      </c>
      <c r="B33">
        <f t="shared" si="0"/>
        <v>2.5499999999999998</v>
      </c>
      <c r="C33">
        <v>0.2</v>
      </c>
    </row>
    <row r="35" spans="1:4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29"/>
  <sheetViews>
    <sheetView tabSelected="1" topLeftCell="S44" zoomScaleNormal="100" workbookViewId="0">
      <selection activeCell="U73" sqref="U73"/>
    </sheetView>
  </sheetViews>
  <sheetFormatPr baseColWidth="10" defaultRowHeight="16"/>
  <cols>
    <col min="1" max="1" width="3.5" customWidth="1"/>
    <col min="2" max="6" width="9" customWidth="1"/>
    <col min="7" max="8" width="8.83203125" customWidth="1"/>
    <col min="9" max="10" width="8.5" customWidth="1"/>
    <col min="11" max="12" width="8.83203125" customWidth="1"/>
    <col min="13" max="13" width="20.33203125" customWidth="1"/>
    <col min="14" max="14" width="12.1640625" customWidth="1"/>
    <col min="20" max="20" width="12.1640625" bestFit="1" customWidth="1"/>
  </cols>
  <sheetData>
    <row r="2" spans="1:36">
      <c r="A2" s="17" t="s">
        <v>326</v>
      </c>
      <c r="B2" s="17"/>
      <c r="C2" t="s">
        <v>329</v>
      </c>
      <c r="D2" t="s">
        <v>330</v>
      </c>
      <c r="E2" t="s">
        <v>331</v>
      </c>
      <c r="F2" t="s">
        <v>332</v>
      </c>
    </row>
    <row r="3" spans="1:36">
      <c r="B3" s="29" t="s">
        <v>327</v>
      </c>
      <c r="C3">
        <v>9.9</v>
      </c>
      <c r="D3">
        <v>11.1</v>
      </c>
      <c r="E3">
        <f>C3*2</f>
        <v>19.8</v>
      </c>
      <c r="F3">
        <f>D3*2</f>
        <v>22.2</v>
      </c>
    </row>
    <row r="4" spans="1:36">
      <c r="B4" s="29" t="s">
        <v>328</v>
      </c>
      <c r="C4">
        <v>13.2</v>
      </c>
      <c r="D4">
        <v>14.8</v>
      </c>
      <c r="E4">
        <f>C4*2</f>
        <v>26.4</v>
      </c>
      <c r="F4">
        <f>D4*2</f>
        <v>29.6</v>
      </c>
    </row>
    <row r="6" spans="1:36" ht="17" thickBot="1">
      <c r="A6" s="17" t="s">
        <v>110</v>
      </c>
      <c r="B6" s="17"/>
    </row>
    <row r="7" spans="1:36">
      <c r="B7" s="34">
        <v>10</v>
      </c>
      <c r="C7" s="35">
        <v>10</v>
      </c>
      <c r="D7" s="35">
        <v>13.3</v>
      </c>
      <c r="E7" s="73">
        <v>13.3</v>
      </c>
      <c r="F7" s="35">
        <v>10</v>
      </c>
      <c r="G7" s="35">
        <v>10</v>
      </c>
      <c r="H7" s="35">
        <v>13.3</v>
      </c>
      <c r="I7" s="73">
        <v>13.3</v>
      </c>
      <c r="J7" s="35">
        <v>13.3</v>
      </c>
      <c r="K7" s="73">
        <v>14.8</v>
      </c>
      <c r="L7" s="35">
        <v>13.3</v>
      </c>
      <c r="M7" s="35" t="s">
        <v>99</v>
      </c>
      <c r="N7" s="36" t="s">
        <v>105</v>
      </c>
    </row>
    <row r="8" spans="1:36">
      <c r="B8" s="39">
        <v>0.26200000000000001</v>
      </c>
      <c r="C8" s="44">
        <v>0.49</v>
      </c>
      <c r="D8" s="44">
        <v>0.49</v>
      </c>
      <c r="E8" s="74">
        <v>0.49</v>
      </c>
      <c r="F8" s="44">
        <v>0.626</v>
      </c>
      <c r="G8" s="44">
        <v>0.626</v>
      </c>
      <c r="H8" s="44">
        <v>0.626</v>
      </c>
      <c r="I8" s="74">
        <v>0.626</v>
      </c>
      <c r="J8" s="44">
        <v>0.626</v>
      </c>
      <c r="K8" s="74">
        <v>0.626</v>
      </c>
      <c r="L8" s="44">
        <v>0.626</v>
      </c>
      <c r="M8" s="44" t="s">
        <v>100</v>
      </c>
      <c r="N8" s="49" t="s">
        <v>17</v>
      </c>
    </row>
    <row r="9" spans="1:36">
      <c r="B9" s="39">
        <v>625000</v>
      </c>
      <c r="C9" s="44">
        <v>625000</v>
      </c>
      <c r="D9" s="44">
        <v>625000</v>
      </c>
      <c r="E9" s="74">
        <v>625000</v>
      </c>
      <c r="F9" s="44">
        <v>625000</v>
      </c>
      <c r="G9" s="44">
        <v>625000</v>
      </c>
      <c r="H9" s="44">
        <v>625000</v>
      </c>
      <c r="I9" s="74">
        <v>625000</v>
      </c>
      <c r="J9" s="44">
        <v>625000</v>
      </c>
      <c r="K9" s="74">
        <v>625000</v>
      </c>
      <c r="L9" s="44">
        <v>625000</v>
      </c>
      <c r="M9" s="44" t="s">
        <v>101</v>
      </c>
      <c r="N9" s="49" t="s">
        <v>63</v>
      </c>
    </row>
    <row r="10" spans="1:36">
      <c r="B10" s="39">
        <v>3</v>
      </c>
      <c r="C10" s="44">
        <v>3</v>
      </c>
      <c r="D10" s="44">
        <v>4</v>
      </c>
      <c r="E10" s="74">
        <v>4</v>
      </c>
      <c r="F10" s="44">
        <v>3</v>
      </c>
      <c r="G10" s="44">
        <v>3</v>
      </c>
      <c r="H10" s="44">
        <v>3</v>
      </c>
      <c r="I10" s="74">
        <v>3</v>
      </c>
      <c r="J10" s="44">
        <v>3</v>
      </c>
      <c r="K10" s="74">
        <v>3</v>
      </c>
      <c r="L10" s="44">
        <v>4</v>
      </c>
      <c r="M10" s="44" t="s">
        <v>102</v>
      </c>
      <c r="N10" s="49" t="s">
        <v>119</v>
      </c>
      <c r="O10" t="s">
        <v>268</v>
      </c>
      <c r="AH10" s="17" t="s">
        <v>317</v>
      </c>
    </row>
    <row r="11" spans="1:36">
      <c r="B11" s="39">
        <v>4</v>
      </c>
      <c r="C11" s="44">
        <v>4</v>
      </c>
      <c r="D11" s="44">
        <v>4</v>
      </c>
      <c r="E11" s="74">
        <v>4</v>
      </c>
      <c r="F11" s="44">
        <v>4</v>
      </c>
      <c r="G11" s="44">
        <v>4</v>
      </c>
      <c r="H11" s="44">
        <v>4</v>
      </c>
      <c r="I11" s="74">
        <v>4</v>
      </c>
      <c r="J11" s="44">
        <v>4</v>
      </c>
      <c r="K11" s="74">
        <v>4</v>
      </c>
      <c r="L11" s="44">
        <v>4</v>
      </c>
      <c r="M11" s="44" t="s">
        <v>103</v>
      </c>
      <c r="N11" s="49" t="s">
        <v>106</v>
      </c>
      <c r="AH11">
        <v>30</v>
      </c>
    </row>
    <row r="12" spans="1:36">
      <c r="B12" s="75">
        <f t="shared" ref="B12:L12" si="0">(B7*10^8)/(B8*B9*B10*B11)</f>
        <v>508.90585241730281</v>
      </c>
      <c r="C12" s="56">
        <f t="shared" si="0"/>
        <v>272.10884353741494</v>
      </c>
      <c r="D12" s="56">
        <f t="shared" si="0"/>
        <v>271.42857142857144</v>
      </c>
      <c r="E12" s="76">
        <f t="shared" si="0"/>
        <v>271.42857142857144</v>
      </c>
      <c r="F12" s="56">
        <f t="shared" si="0"/>
        <v>212.99254526091588</v>
      </c>
      <c r="G12" s="56">
        <f>(G7*10^8)/(G8*G9*G10*G11)</f>
        <v>212.99254526091588</v>
      </c>
      <c r="H12" s="56">
        <f t="shared" si="0"/>
        <v>283.28008519701808</v>
      </c>
      <c r="I12" s="76">
        <f t="shared" si="0"/>
        <v>283.28008519701808</v>
      </c>
      <c r="J12" s="56">
        <f t="shared" si="0"/>
        <v>283.28008519701808</v>
      </c>
      <c r="K12" s="76">
        <f>(K7*10^8)/(K8*K9*K10*K11)</f>
        <v>315.22896698615551</v>
      </c>
      <c r="L12" s="56">
        <f t="shared" si="0"/>
        <v>212.46006389776358</v>
      </c>
      <c r="M12" s="44" t="s">
        <v>98</v>
      </c>
      <c r="N12" s="49" t="s">
        <v>104</v>
      </c>
      <c r="AH12">
        <v>40</v>
      </c>
      <c r="AI12">
        <v>1.7000000000000001E-2</v>
      </c>
    </row>
    <row r="13" spans="1:36" ht="17" thickBot="1">
      <c r="B13" s="77">
        <f t="shared" ref="B13:L13" si="1">B12/10</f>
        <v>50.890585241730278</v>
      </c>
      <c r="C13" s="66">
        <f t="shared" si="1"/>
        <v>27.210884353741495</v>
      </c>
      <c r="D13" s="66">
        <f t="shared" si="1"/>
        <v>27.142857142857146</v>
      </c>
      <c r="E13" s="78">
        <f t="shared" si="1"/>
        <v>27.142857142857146</v>
      </c>
      <c r="F13" s="66">
        <f t="shared" si="1"/>
        <v>21.299254526091588</v>
      </c>
      <c r="G13" s="66">
        <f>G12/10</f>
        <v>21.299254526091588</v>
      </c>
      <c r="H13" s="66">
        <f t="shared" si="1"/>
        <v>28.328008519701807</v>
      </c>
      <c r="I13" s="78">
        <f t="shared" si="1"/>
        <v>28.328008519701807</v>
      </c>
      <c r="J13" s="66">
        <f t="shared" si="1"/>
        <v>28.328008519701807</v>
      </c>
      <c r="K13" s="78">
        <f>K12/10</f>
        <v>31.522896698615551</v>
      </c>
      <c r="L13" s="66">
        <f t="shared" si="1"/>
        <v>21.246006389776358</v>
      </c>
      <c r="M13" s="44" t="s">
        <v>98</v>
      </c>
      <c r="N13" s="49" t="s">
        <v>267</v>
      </c>
      <c r="T13" s="17" t="s">
        <v>325</v>
      </c>
      <c r="AH13">
        <v>50</v>
      </c>
    </row>
    <row r="14" spans="1:36" ht="17" thickBot="1">
      <c r="B14" s="39"/>
      <c r="C14" s="44"/>
      <c r="D14" s="44"/>
      <c r="E14" s="74"/>
      <c r="F14" s="44"/>
      <c r="G14" s="44"/>
      <c r="H14" s="44"/>
      <c r="I14" s="74"/>
      <c r="J14" s="44"/>
      <c r="K14" s="74"/>
      <c r="L14" s="44"/>
      <c r="M14" s="44"/>
      <c r="N14" s="49"/>
      <c r="P14" t="s">
        <v>275</v>
      </c>
      <c r="T14" s="34" t="s">
        <v>252</v>
      </c>
      <c r="U14" s="35" t="s">
        <v>130</v>
      </c>
      <c r="V14" s="35" t="s">
        <v>253</v>
      </c>
      <c r="W14" s="35" t="s">
        <v>254</v>
      </c>
      <c r="X14" s="35" t="s">
        <v>260</v>
      </c>
      <c r="Y14" s="35" t="s">
        <v>159</v>
      </c>
      <c r="Z14" s="35" t="s">
        <v>258</v>
      </c>
      <c r="AA14" s="35" t="s">
        <v>257</v>
      </c>
      <c r="AB14" s="35" t="s">
        <v>324</v>
      </c>
      <c r="AC14" s="35" t="s">
        <v>323</v>
      </c>
      <c r="AD14" s="35" t="s">
        <v>259</v>
      </c>
      <c r="AE14" s="35" t="s">
        <v>264</v>
      </c>
      <c r="AF14" s="36"/>
      <c r="AH14">
        <v>60</v>
      </c>
      <c r="AI14">
        <v>1.9E-2</v>
      </c>
    </row>
    <row r="15" spans="1:36">
      <c r="B15" s="79">
        <v>100</v>
      </c>
      <c r="C15" s="80">
        <v>100</v>
      </c>
      <c r="D15" s="80">
        <v>160</v>
      </c>
      <c r="E15" s="74">
        <v>250</v>
      </c>
      <c r="F15" s="80">
        <v>100</v>
      </c>
      <c r="G15" s="80">
        <v>130</v>
      </c>
      <c r="H15" s="80">
        <v>100</v>
      </c>
      <c r="I15" s="74">
        <v>130</v>
      </c>
      <c r="J15" s="80">
        <v>160</v>
      </c>
      <c r="K15" s="74">
        <v>160</v>
      </c>
      <c r="L15" s="80">
        <v>160</v>
      </c>
      <c r="M15" s="44" t="s">
        <v>120</v>
      </c>
      <c r="N15" s="49"/>
      <c r="P15" s="34" t="s">
        <v>277</v>
      </c>
      <c r="Q15" s="35"/>
      <c r="R15" s="36"/>
      <c r="T15" s="39">
        <v>30</v>
      </c>
      <c r="U15" s="44">
        <v>101</v>
      </c>
      <c r="V15" s="44">
        <v>41</v>
      </c>
      <c r="W15" s="44">
        <v>1.6E-2</v>
      </c>
      <c r="X15" s="44">
        <v>112.5</v>
      </c>
      <c r="Y15" s="44">
        <f>U15/500</f>
        <v>0.20200000000000001</v>
      </c>
      <c r="Z15" s="65">
        <f>U15/300</f>
        <v>0.33666666666666667</v>
      </c>
      <c r="AA15" s="33">
        <f t="shared" ref="AA15:AA20" si="2">W15*25.4</f>
        <v>0.40639999999999998</v>
      </c>
      <c r="AB15" s="56">
        <f>U$40/$AA15</f>
        <v>194.70453367248237</v>
      </c>
      <c r="AC15" s="56">
        <f>V$40/$AA15</f>
        <v>172.69174026607908</v>
      </c>
      <c r="AD15" s="69">
        <f>X15/1000 / (2.54 * 12) * 100</f>
        <v>0.36909448818897639</v>
      </c>
      <c r="AE15" s="66">
        <f>$AD15*U$42</f>
        <v>1.2166476377952757</v>
      </c>
      <c r="AF15" s="70">
        <f>$AD15*V$42</f>
        <v>1.0822145669291341</v>
      </c>
      <c r="AH15">
        <v>66</v>
      </c>
    </row>
    <row r="16" spans="1:36">
      <c r="B16" s="81">
        <f t="shared" ref="B16:L16" si="3">B15/B7</f>
        <v>10</v>
      </c>
      <c r="C16" s="33">
        <f t="shared" si="3"/>
        <v>10</v>
      </c>
      <c r="D16" s="33">
        <f t="shared" si="3"/>
        <v>12.030075187969924</v>
      </c>
      <c r="E16" s="82">
        <f t="shared" si="3"/>
        <v>18.796992481203006</v>
      </c>
      <c r="F16" s="33">
        <f t="shared" si="3"/>
        <v>10</v>
      </c>
      <c r="G16" s="33">
        <f t="shared" si="3"/>
        <v>13</v>
      </c>
      <c r="H16" s="33">
        <f t="shared" si="3"/>
        <v>7.518796992481203</v>
      </c>
      <c r="I16" s="82">
        <f t="shared" si="3"/>
        <v>9.7744360902255636</v>
      </c>
      <c r="J16" s="33">
        <f t="shared" si="3"/>
        <v>12.030075187969924</v>
      </c>
      <c r="K16" s="82">
        <f t="shared" si="3"/>
        <v>10.810810810810811</v>
      </c>
      <c r="L16" s="33">
        <f t="shared" si="3"/>
        <v>12.030075187969924</v>
      </c>
      <c r="M16" s="44" t="s">
        <v>121</v>
      </c>
      <c r="N16" s="49"/>
      <c r="P16" s="37" t="s">
        <v>249</v>
      </c>
      <c r="Q16" s="32">
        <v>3.5000000000000003E-2</v>
      </c>
      <c r="R16" s="38">
        <v>3.5000000000000003E-2</v>
      </c>
      <c r="T16" s="39">
        <v>28</v>
      </c>
      <c r="U16" s="44">
        <v>163</v>
      </c>
      <c r="V16" s="44">
        <v>66</v>
      </c>
      <c r="W16" s="44">
        <v>2.1000000000000001E-2</v>
      </c>
      <c r="X16" s="44">
        <v>71.599999999999994</v>
      </c>
      <c r="Y16" s="44">
        <f>U16/500</f>
        <v>0.32600000000000001</v>
      </c>
      <c r="Z16" s="65">
        <f>U16/300</f>
        <v>0.54333333333333333</v>
      </c>
      <c r="AA16" s="33">
        <f t="shared" si="2"/>
        <v>0.53339999999999999</v>
      </c>
      <c r="AB16" s="56">
        <f>U$40/$AA16</f>
        <v>148.34631136951037</v>
      </c>
      <c r="AC16" s="56">
        <f>V$40/$AA16</f>
        <v>131.57465925034597</v>
      </c>
      <c r="AD16" s="69">
        <f>X16/1000 / (2.54 * 12) * 100</f>
        <v>0.23490813648293962</v>
      </c>
      <c r="AE16" s="66">
        <f>$AD16*U$42</f>
        <v>0.77432862992125984</v>
      </c>
      <c r="AF16" s="70">
        <f>$AD16*V$42</f>
        <v>0.68876944881889768</v>
      </c>
      <c r="AH16">
        <v>100</v>
      </c>
      <c r="AI16">
        <v>2.5999999999999999E-2</v>
      </c>
      <c r="AJ16">
        <v>2.7E-2</v>
      </c>
    </row>
    <row r="17" spans="2:36">
      <c r="B17" s="81">
        <f t="shared" ref="B17:L17" si="4">B16/2</f>
        <v>5</v>
      </c>
      <c r="C17" s="33">
        <f t="shared" si="4"/>
        <v>5</v>
      </c>
      <c r="D17" s="33">
        <f t="shared" si="4"/>
        <v>6.0150375939849621</v>
      </c>
      <c r="E17" s="82">
        <f t="shared" si="4"/>
        <v>9.3984962406015029</v>
      </c>
      <c r="F17" s="33">
        <f t="shared" si="4"/>
        <v>5</v>
      </c>
      <c r="G17" s="33">
        <f t="shared" si="4"/>
        <v>6.5</v>
      </c>
      <c r="H17" s="33">
        <f t="shared" si="4"/>
        <v>3.7593984962406015</v>
      </c>
      <c r="I17" s="82">
        <f t="shared" si="4"/>
        <v>4.8872180451127818</v>
      </c>
      <c r="J17" s="33">
        <f t="shared" si="4"/>
        <v>6.0150375939849621</v>
      </c>
      <c r="K17" s="82">
        <f t="shared" si="4"/>
        <v>5.4054054054054053</v>
      </c>
      <c r="L17" s="33">
        <f t="shared" si="4"/>
        <v>6.0150375939849621</v>
      </c>
      <c r="M17" s="44" t="s">
        <v>123</v>
      </c>
      <c r="N17" s="49"/>
      <c r="P17" s="39" t="s">
        <v>250</v>
      </c>
      <c r="Q17" s="33">
        <f>C16/2</f>
        <v>5</v>
      </c>
      <c r="R17" s="40">
        <f>I16/2</f>
        <v>4.8872180451127818</v>
      </c>
      <c r="T17" s="39">
        <v>26</v>
      </c>
      <c r="U17" s="44">
        <v>259</v>
      </c>
      <c r="V17" s="44">
        <v>105</v>
      </c>
      <c r="W17" s="44">
        <v>2.5999999999999999E-2</v>
      </c>
      <c r="X17" s="44">
        <v>45.1</v>
      </c>
      <c r="Y17" s="44">
        <f>U17/500</f>
        <v>0.51800000000000002</v>
      </c>
      <c r="Z17" s="65">
        <f>U17/300</f>
        <v>0.86333333333333329</v>
      </c>
      <c r="AA17" s="33">
        <f t="shared" si="2"/>
        <v>0.66039999999999999</v>
      </c>
      <c r="AB17" s="56">
        <f>U$40/$AA17</f>
        <v>119.81817456768147</v>
      </c>
      <c r="AC17" s="56">
        <f>V$40/$AA17</f>
        <v>106.27184016374098</v>
      </c>
      <c r="AD17" s="69">
        <f>X17/1000 / (2.54 * 12) * 100</f>
        <v>0.14796587926509186</v>
      </c>
      <c r="AE17" s="66">
        <f>$AD17*U$42</f>
        <v>0.4877405196850394</v>
      </c>
      <c r="AF17" s="70">
        <f>$AD17*V$42</f>
        <v>0.43384779527559059</v>
      </c>
      <c r="AH17">
        <v>175</v>
      </c>
      <c r="AI17">
        <v>3.2000000000000001E-2</v>
      </c>
      <c r="AJ17">
        <v>0.03</v>
      </c>
    </row>
    <row r="18" spans="2:36">
      <c r="B18" s="39"/>
      <c r="C18" s="44"/>
      <c r="D18" s="44"/>
      <c r="E18" s="74"/>
      <c r="F18" s="44"/>
      <c r="G18" s="44"/>
      <c r="H18" s="44"/>
      <c r="I18" s="74"/>
      <c r="J18" s="44"/>
      <c r="K18" s="74"/>
      <c r="L18" s="44"/>
      <c r="M18" s="44"/>
      <c r="N18" s="49"/>
      <c r="P18" s="39" t="s">
        <v>251</v>
      </c>
      <c r="Q18" s="33">
        <f>Q17*Q16</f>
        <v>0.17500000000000002</v>
      </c>
      <c r="R18" s="40">
        <f>R17*R16</f>
        <v>0.17105263157894737</v>
      </c>
      <c r="T18" s="39">
        <v>24</v>
      </c>
      <c r="U18" s="44">
        <v>408</v>
      </c>
      <c r="V18" s="44">
        <v>165</v>
      </c>
      <c r="W18" s="44">
        <v>3.2000000000000001E-2</v>
      </c>
      <c r="X18" s="44">
        <v>28.7</v>
      </c>
      <c r="Y18" s="44">
        <f>U18/500</f>
        <v>0.81599999999999995</v>
      </c>
      <c r="Z18" s="65">
        <f>U18/300</f>
        <v>1.36</v>
      </c>
      <c r="AA18" s="33">
        <f t="shared" si="2"/>
        <v>0.81279999999999997</v>
      </c>
      <c r="AB18" s="56">
        <f>U$40/$AA18</f>
        <v>97.352266836241185</v>
      </c>
      <c r="AC18" s="56">
        <f>V$40/$AA18</f>
        <v>86.34587013303954</v>
      </c>
      <c r="AD18" s="69">
        <f>X18/1000 / (2.54 * 12) * 100</f>
        <v>9.416010498687663E-2</v>
      </c>
      <c r="AE18" s="66">
        <f>$AD18*U$42</f>
        <v>0.31038033070866139</v>
      </c>
      <c r="AF18" s="70">
        <f>$AD18*V$42</f>
        <v>0.27608496062992127</v>
      </c>
      <c r="AH18">
        <v>420</v>
      </c>
      <c r="AI18">
        <v>4.8000000000000001E-2</v>
      </c>
    </row>
    <row r="19" spans="2:36">
      <c r="B19" s="79">
        <v>300</v>
      </c>
      <c r="C19" s="80">
        <v>300</v>
      </c>
      <c r="D19" s="80">
        <v>300</v>
      </c>
      <c r="E19" s="74">
        <v>333</v>
      </c>
      <c r="F19" s="80">
        <v>300</v>
      </c>
      <c r="G19" s="80">
        <v>300</v>
      </c>
      <c r="H19" s="80">
        <v>300</v>
      </c>
      <c r="I19" s="74">
        <v>300</v>
      </c>
      <c r="J19" s="80">
        <v>300</v>
      </c>
      <c r="K19" s="74">
        <v>300</v>
      </c>
      <c r="L19" s="80">
        <v>300</v>
      </c>
      <c r="M19" s="44" t="s">
        <v>122</v>
      </c>
      <c r="N19" s="49"/>
      <c r="P19" s="39" t="s">
        <v>120</v>
      </c>
      <c r="Q19" s="33">
        <f>Q17^2 * Q16</f>
        <v>0.87500000000000011</v>
      </c>
      <c r="R19" s="40">
        <f>R17^2 * R16</f>
        <v>0.83597150771666018</v>
      </c>
      <c r="T19" s="39"/>
      <c r="U19" s="44"/>
      <c r="V19" s="44">
        <v>270</v>
      </c>
      <c r="W19" s="44">
        <v>3.9E-2</v>
      </c>
      <c r="X19" s="44"/>
      <c r="Y19" s="44"/>
      <c r="Z19" s="44"/>
      <c r="AA19" s="33">
        <f t="shared" si="2"/>
        <v>0.99059999999999993</v>
      </c>
      <c r="AB19" s="56">
        <f>U$40/$AA19</f>
        <v>79.878783045120983</v>
      </c>
      <c r="AC19" s="56">
        <f>V$40/$AA19</f>
        <v>70.847893442493984</v>
      </c>
      <c r="AD19" s="44"/>
      <c r="AE19" s="44"/>
      <c r="AF19" s="49"/>
      <c r="AH19">
        <v>500</v>
      </c>
    </row>
    <row r="20" spans="2:36">
      <c r="B20" s="75">
        <f t="shared" ref="B20:L20" si="5">B19/B7*B10</f>
        <v>90</v>
      </c>
      <c r="C20" s="56">
        <f t="shared" si="5"/>
        <v>90</v>
      </c>
      <c r="D20" s="56">
        <f t="shared" si="5"/>
        <v>90.225563909774436</v>
      </c>
      <c r="E20" s="76">
        <f t="shared" si="5"/>
        <v>100.15037593984962</v>
      </c>
      <c r="F20" s="56">
        <f t="shared" si="5"/>
        <v>90</v>
      </c>
      <c r="G20" s="56">
        <f t="shared" si="5"/>
        <v>90</v>
      </c>
      <c r="H20" s="56">
        <f t="shared" si="5"/>
        <v>67.669172932330824</v>
      </c>
      <c r="I20" s="76">
        <f t="shared" si="5"/>
        <v>67.669172932330824</v>
      </c>
      <c r="J20" s="56">
        <f t="shared" si="5"/>
        <v>67.669172932330824</v>
      </c>
      <c r="K20" s="76">
        <f t="shared" si="5"/>
        <v>60.810810810810807</v>
      </c>
      <c r="L20" s="56">
        <f t="shared" si="5"/>
        <v>90.225563909774436</v>
      </c>
      <c r="M20" s="44" t="s">
        <v>307</v>
      </c>
      <c r="N20" s="49"/>
      <c r="P20" s="39" t="s">
        <v>278</v>
      </c>
      <c r="Q20" s="33">
        <f>2*Q19</f>
        <v>1.7500000000000002</v>
      </c>
      <c r="R20" s="40">
        <f>2*R19</f>
        <v>1.6719430154333204</v>
      </c>
      <c r="T20" s="39"/>
      <c r="U20" s="44"/>
      <c r="V20" s="44">
        <v>330</v>
      </c>
      <c r="W20" s="44">
        <v>4.2000000000000003E-2</v>
      </c>
      <c r="X20" s="44"/>
      <c r="Y20" s="44"/>
      <c r="Z20" s="44"/>
      <c r="AA20" s="33">
        <f t="shared" si="2"/>
        <v>1.0668</v>
      </c>
      <c r="AB20" s="56">
        <f>U$40/$AA20</f>
        <v>74.173155684755187</v>
      </c>
      <c r="AC20" s="56">
        <f>V$40/$AA20</f>
        <v>65.787329625172987</v>
      </c>
      <c r="AD20" s="44"/>
      <c r="AE20" s="44"/>
      <c r="AF20" s="49"/>
      <c r="AH20">
        <v>660</v>
      </c>
      <c r="AI20">
        <v>6.2E-2</v>
      </c>
    </row>
    <row r="21" spans="2:36" ht="17" thickBot="1">
      <c r="B21" s="81">
        <f t="shared" ref="B21:L21" si="6">B15/B19</f>
        <v>0.33333333333333331</v>
      </c>
      <c r="C21" s="33">
        <f t="shared" si="6"/>
        <v>0.33333333333333331</v>
      </c>
      <c r="D21" s="33">
        <f t="shared" si="6"/>
        <v>0.53333333333333333</v>
      </c>
      <c r="E21" s="82">
        <f t="shared" si="6"/>
        <v>0.75075075075075071</v>
      </c>
      <c r="F21" s="33">
        <f t="shared" si="6"/>
        <v>0.33333333333333331</v>
      </c>
      <c r="G21" s="33">
        <f t="shared" si="6"/>
        <v>0.43333333333333335</v>
      </c>
      <c r="H21" s="33">
        <f t="shared" si="6"/>
        <v>0.33333333333333331</v>
      </c>
      <c r="I21" s="82">
        <f t="shared" si="6"/>
        <v>0.43333333333333335</v>
      </c>
      <c r="J21" s="33">
        <f t="shared" si="6"/>
        <v>0.53333333333333333</v>
      </c>
      <c r="K21" s="82">
        <f t="shared" si="6"/>
        <v>0.53333333333333333</v>
      </c>
      <c r="L21" s="33">
        <f t="shared" si="6"/>
        <v>0.53333333333333333</v>
      </c>
      <c r="M21" s="44" t="s">
        <v>124</v>
      </c>
      <c r="N21" s="49"/>
      <c r="P21" s="41"/>
      <c r="Q21" s="42"/>
      <c r="R21" s="43"/>
      <c r="T21" s="39"/>
      <c r="U21" s="44"/>
      <c r="V21" s="44">
        <v>420</v>
      </c>
      <c r="W21" s="44">
        <v>4.8000000000000001E-2</v>
      </c>
      <c r="X21" s="44"/>
      <c r="Y21" s="44"/>
      <c r="Z21" s="44"/>
      <c r="AA21" s="33">
        <f t="shared" ref="AA21:AA22" si="7">W21*25.4</f>
        <v>1.2192000000000001</v>
      </c>
      <c r="AB21" s="56">
        <f>U$40/$AA21</f>
        <v>64.901511224160785</v>
      </c>
      <c r="AC21" s="56">
        <f>V$40/$AA21</f>
        <v>57.56391342202636</v>
      </c>
      <c r="AD21" s="44"/>
      <c r="AE21" s="44"/>
      <c r="AF21" s="49"/>
      <c r="AH21">
        <v>1162</v>
      </c>
      <c r="AI21">
        <v>8.2000000000000003E-2</v>
      </c>
    </row>
    <row r="22" spans="2:36" ht="17" thickBot="1">
      <c r="B22" s="39"/>
      <c r="C22" s="44"/>
      <c r="D22" s="44"/>
      <c r="E22" s="74"/>
      <c r="F22" s="44"/>
      <c r="G22" s="44"/>
      <c r="H22" s="44"/>
      <c r="I22" s="74"/>
      <c r="J22" s="44"/>
      <c r="K22" s="74"/>
      <c r="L22" s="44"/>
      <c r="M22" s="44"/>
      <c r="N22" s="49"/>
      <c r="T22" s="71"/>
      <c r="U22" s="42"/>
      <c r="V22" s="42">
        <v>660</v>
      </c>
      <c r="W22" s="42">
        <v>6.2E-2</v>
      </c>
      <c r="X22" s="42"/>
      <c r="Y22" s="42"/>
      <c r="Z22" s="42"/>
      <c r="AA22" s="50">
        <f t="shared" si="7"/>
        <v>1.5748</v>
      </c>
      <c r="AB22" s="72">
        <f>U$40/$AA22</f>
        <v>50.246331270318031</v>
      </c>
      <c r="AC22" s="72">
        <f>V$40/$AA22</f>
        <v>44.565610391246217</v>
      </c>
      <c r="AD22" s="42"/>
      <c r="AE22" s="42"/>
      <c r="AF22" s="43"/>
      <c r="AH22">
        <v>3000</v>
      </c>
      <c r="AI22">
        <v>0.14000000000000001</v>
      </c>
    </row>
    <row r="23" spans="2:36">
      <c r="B23" s="79">
        <v>300</v>
      </c>
      <c r="C23" s="80">
        <v>300</v>
      </c>
      <c r="D23" s="80">
        <v>300</v>
      </c>
      <c r="E23" s="74">
        <v>300</v>
      </c>
      <c r="F23" s="80">
        <v>300</v>
      </c>
      <c r="G23" s="80">
        <v>300</v>
      </c>
      <c r="H23" s="80">
        <v>300</v>
      </c>
      <c r="I23" s="74">
        <v>300</v>
      </c>
      <c r="J23" s="80">
        <v>300</v>
      </c>
      <c r="K23" s="74">
        <v>300</v>
      </c>
      <c r="L23" s="80">
        <v>300</v>
      </c>
      <c r="M23" s="44" t="s">
        <v>297</v>
      </c>
      <c r="N23" s="49"/>
    </row>
    <row r="24" spans="2:36" ht="17" thickBot="1">
      <c r="B24" s="39"/>
      <c r="C24" s="44"/>
      <c r="D24" s="44"/>
      <c r="E24" s="74"/>
      <c r="F24" s="44"/>
      <c r="G24" s="44"/>
      <c r="H24" s="44"/>
      <c r="I24" s="74"/>
      <c r="J24" s="44"/>
      <c r="K24" s="74"/>
      <c r="L24" s="44"/>
      <c r="M24" s="44"/>
      <c r="N24" s="49"/>
      <c r="P24" s="17" t="s">
        <v>301</v>
      </c>
    </row>
    <row r="25" spans="2:36">
      <c r="B25" s="39">
        <f t="shared" ref="B25:L25" si="8">B19*B23</f>
        <v>90000</v>
      </c>
      <c r="C25" s="44">
        <f t="shared" si="8"/>
        <v>90000</v>
      </c>
      <c r="D25" s="44">
        <f t="shared" si="8"/>
        <v>90000</v>
      </c>
      <c r="E25" s="74">
        <f t="shared" si="8"/>
        <v>99900</v>
      </c>
      <c r="F25" s="44">
        <f t="shared" si="8"/>
        <v>90000</v>
      </c>
      <c r="G25" s="44">
        <f t="shared" si="8"/>
        <v>90000</v>
      </c>
      <c r="H25" s="44">
        <f t="shared" si="8"/>
        <v>90000</v>
      </c>
      <c r="I25" s="74">
        <f t="shared" si="8"/>
        <v>90000</v>
      </c>
      <c r="J25" s="44">
        <f t="shared" si="8"/>
        <v>90000</v>
      </c>
      <c r="K25" s="74">
        <f t="shared" si="8"/>
        <v>90000</v>
      </c>
      <c r="L25" s="44">
        <f t="shared" si="8"/>
        <v>90000</v>
      </c>
      <c r="M25" s="44" t="s">
        <v>125</v>
      </c>
      <c r="N25" s="49" t="s">
        <v>105</v>
      </c>
      <c r="P25" s="34">
        <f xml:space="preserve"> 6.25 * 10^5</f>
        <v>625000</v>
      </c>
      <c r="Q25" s="35" t="s">
        <v>302</v>
      </c>
      <c r="R25" s="36"/>
    </row>
    <row r="26" spans="2:36" ht="17" thickBot="1">
      <c r="B26" s="81">
        <f>B15/B25*1000</f>
        <v>1.1111111111111112</v>
      </c>
      <c r="C26" s="33">
        <f>C15/C25*1000</f>
        <v>1.1111111111111112</v>
      </c>
      <c r="D26" s="33">
        <f t="shared" ref="D26:L26" si="9">D15/D25*1000</f>
        <v>1.7777777777777779</v>
      </c>
      <c r="E26" s="82">
        <f t="shared" si="9"/>
        <v>2.5025025025025025</v>
      </c>
      <c r="F26" s="33">
        <f t="shared" si="9"/>
        <v>1.1111111111111112</v>
      </c>
      <c r="G26" s="33">
        <f t="shared" si="9"/>
        <v>1.4444444444444444</v>
      </c>
      <c r="H26" s="33">
        <f t="shared" si="9"/>
        <v>1.1111111111111112</v>
      </c>
      <c r="I26" s="82">
        <f t="shared" si="9"/>
        <v>1.4444444444444444</v>
      </c>
      <c r="J26" s="33">
        <f t="shared" si="9"/>
        <v>1.7777777777777779</v>
      </c>
      <c r="K26" s="82">
        <f t="shared" si="9"/>
        <v>1.7777777777777779</v>
      </c>
      <c r="L26" s="33">
        <f t="shared" si="9"/>
        <v>1.7777777777777779</v>
      </c>
      <c r="M26" s="44" t="s">
        <v>129</v>
      </c>
      <c r="N26" s="49" t="s">
        <v>178</v>
      </c>
      <c r="P26" s="39">
        <v>15</v>
      </c>
      <c r="Q26" s="44" t="s">
        <v>305</v>
      </c>
      <c r="R26" s="49"/>
      <c r="S26" s="31"/>
      <c r="T26" s="17" t="s">
        <v>308</v>
      </c>
    </row>
    <row r="27" spans="2:36">
      <c r="B27" s="39"/>
      <c r="C27" s="44"/>
      <c r="D27" s="44"/>
      <c r="E27" s="74"/>
      <c r="F27" s="44"/>
      <c r="G27" s="44"/>
      <c r="H27" s="44"/>
      <c r="I27" s="74"/>
      <c r="J27" s="44"/>
      <c r="K27" s="74"/>
      <c r="L27" s="44"/>
      <c r="M27" s="44"/>
      <c r="N27" s="49"/>
      <c r="P27" s="39">
        <v>300</v>
      </c>
      <c r="Q27" s="44" t="s">
        <v>99</v>
      </c>
      <c r="R27" s="49"/>
      <c r="T27" s="34" t="s">
        <v>152</v>
      </c>
      <c r="U27" s="35">
        <v>26</v>
      </c>
      <c r="V27" s="35">
        <v>23</v>
      </c>
      <c r="W27" s="35"/>
      <c r="X27" s="36"/>
      <c r="Z27" s="34"/>
      <c r="AA27" s="46" t="s">
        <v>320</v>
      </c>
      <c r="AB27" s="35"/>
      <c r="AC27" s="47">
        <v>14.8</v>
      </c>
      <c r="AD27" s="36"/>
      <c r="AF27" s="34"/>
      <c r="AG27" s="46" t="s">
        <v>321</v>
      </c>
      <c r="AH27" s="35"/>
      <c r="AI27" s="47">
        <v>14.8</v>
      </c>
      <c r="AJ27" s="36"/>
    </row>
    <row r="28" spans="2:36">
      <c r="B28" s="39">
        <v>300</v>
      </c>
      <c r="C28" s="44">
        <v>300</v>
      </c>
      <c r="D28" s="44">
        <v>300</v>
      </c>
      <c r="E28" s="74">
        <v>300</v>
      </c>
      <c r="F28" s="44">
        <v>300</v>
      </c>
      <c r="G28" s="44">
        <v>300</v>
      </c>
      <c r="H28" s="44">
        <v>300</v>
      </c>
      <c r="I28" s="74">
        <v>300</v>
      </c>
      <c r="J28" s="44">
        <v>300</v>
      </c>
      <c r="K28" s="74">
        <v>300</v>
      </c>
      <c r="L28" s="44">
        <v>300</v>
      </c>
      <c r="M28" s="44" t="s">
        <v>294</v>
      </c>
      <c r="N28" s="49"/>
      <c r="P28" s="75">
        <f>2*PI()*P25</f>
        <v>3926990.8169872416</v>
      </c>
      <c r="Q28" s="44" t="s">
        <v>303</v>
      </c>
      <c r="R28" s="49"/>
      <c r="S28" s="31"/>
      <c r="T28" s="39" t="s">
        <v>150</v>
      </c>
      <c r="U28" s="44">
        <v>45</v>
      </c>
      <c r="V28" s="44">
        <v>37</v>
      </c>
      <c r="W28" s="44"/>
      <c r="X28" s="49"/>
      <c r="Z28" s="48"/>
      <c r="AA28" s="44">
        <v>6</v>
      </c>
      <c r="AB28" s="44" t="s">
        <v>286</v>
      </c>
      <c r="AC28" s="33"/>
      <c r="AD28" s="49"/>
      <c r="AF28" s="48"/>
      <c r="AG28" s="44">
        <v>6</v>
      </c>
      <c r="AH28" s="44" t="s">
        <v>286</v>
      </c>
      <c r="AI28" s="33"/>
      <c r="AJ28" s="49"/>
    </row>
    <row r="29" spans="2:36">
      <c r="B29" s="39">
        <v>300</v>
      </c>
      <c r="C29" s="44">
        <v>300</v>
      </c>
      <c r="D29" s="44">
        <v>300</v>
      </c>
      <c r="E29" s="74">
        <v>300</v>
      </c>
      <c r="F29" s="44">
        <v>300</v>
      </c>
      <c r="G29" s="44">
        <v>300</v>
      </c>
      <c r="H29" s="44">
        <v>300</v>
      </c>
      <c r="I29" s="74">
        <v>300</v>
      </c>
      <c r="J29" s="44">
        <v>300</v>
      </c>
      <c r="K29" s="74">
        <v>300</v>
      </c>
      <c r="L29" s="44">
        <v>300</v>
      </c>
      <c r="M29" s="44" t="s">
        <v>295</v>
      </c>
      <c r="N29" s="49"/>
      <c r="P29" s="75">
        <f>1/(P28*(P26* 10^-12))</f>
        <v>16976.5272631355</v>
      </c>
      <c r="Q29" s="44" t="s">
        <v>83</v>
      </c>
      <c r="R29" s="49"/>
      <c r="T29" s="39" t="s">
        <v>151</v>
      </c>
      <c r="U29" s="44">
        <v>8</v>
      </c>
      <c r="V29" s="44">
        <v>7</v>
      </c>
      <c r="W29" s="44"/>
      <c r="X29" s="49"/>
      <c r="Z29" s="39"/>
      <c r="AA29" s="44">
        <v>24</v>
      </c>
      <c r="AB29" s="44" t="s">
        <v>287</v>
      </c>
      <c r="AC29" s="33">
        <f>(AA29*AA30)/(AA28/2)</f>
        <v>32</v>
      </c>
      <c r="AD29" s="49"/>
      <c r="AF29" s="39"/>
      <c r="AG29" s="44">
        <v>16</v>
      </c>
      <c r="AH29" s="44" t="s">
        <v>287</v>
      </c>
      <c r="AI29" s="33">
        <f>(AG29*AG30)/(AG28/2)</f>
        <v>26.666666666666668</v>
      </c>
      <c r="AJ29" s="49"/>
    </row>
    <row r="30" spans="2:36">
      <c r="B30" s="77">
        <f t="shared" ref="B30:L30" si="10">B28*B17</f>
        <v>1500</v>
      </c>
      <c r="C30" s="66">
        <f t="shared" si="10"/>
        <v>1500</v>
      </c>
      <c r="D30" s="66">
        <f t="shared" si="10"/>
        <v>1804.5112781954886</v>
      </c>
      <c r="E30" s="78">
        <f t="shared" si="10"/>
        <v>2819.5488721804509</v>
      </c>
      <c r="F30" s="66">
        <f t="shared" si="10"/>
        <v>1500</v>
      </c>
      <c r="G30" s="66">
        <f t="shared" si="10"/>
        <v>1950</v>
      </c>
      <c r="H30" s="66">
        <f t="shared" si="10"/>
        <v>1127.8195488721803</v>
      </c>
      <c r="I30" s="78">
        <f t="shared" si="10"/>
        <v>1466.1654135338345</v>
      </c>
      <c r="J30" s="66">
        <f t="shared" si="10"/>
        <v>1804.5112781954886</v>
      </c>
      <c r="K30" s="78">
        <f t="shared" si="10"/>
        <v>1621.6216216216217</v>
      </c>
      <c r="L30" s="66">
        <f t="shared" si="10"/>
        <v>1804.5112781954886</v>
      </c>
      <c r="M30" s="44" t="s">
        <v>126</v>
      </c>
      <c r="N30" s="49"/>
      <c r="P30" s="84">
        <f>P27/P29</f>
        <v>1.767145867644259E-2</v>
      </c>
      <c r="Q30" s="44" t="s">
        <v>299</v>
      </c>
      <c r="R30" s="49"/>
      <c r="S30" s="31"/>
      <c r="T30" s="39" t="s">
        <v>240</v>
      </c>
      <c r="U30" s="44">
        <v>1</v>
      </c>
      <c r="V30" s="44">
        <v>1</v>
      </c>
      <c r="W30" s="44" t="s">
        <v>312</v>
      </c>
      <c r="X30" s="49"/>
      <c r="Z30" s="39"/>
      <c r="AA30" s="44">
        <v>4</v>
      </c>
      <c r="AB30" s="44" t="s">
        <v>282</v>
      </c>
      <c r="AC30" s="33"/>
      <c r="AD30" s="49"/>
      <c r="AF30" s="39"/>
      <c r="AG30" s="44">
        <v>5</v>
      </c>
      <c r="AH30" s="44" t="s">
        <v>282</v>
      </c>
      <c r="AI30" s="33"/>
      <c r="AJ30" s="49"/>
    </row>
    <row r="31" spans="2:36" ht="17" thickBot="1">
      <c r="B31" s="39">
        <f t="shared" ref="B31:J31" si="11">B29*B21</f>
        <v>100</v>
      </c>
      <c r="C31" s="44">
        <f t="shared" si="11"/>
        <v>100</v>
      </c>
      <c r="D31" s="44">
        <f t="shared" si="11"/>
        <v>160</v>
      </c>
      <c r="E31" s="74">
        <f t="shared" si="11"/>
        <v>225.22522522522522</v>
      </c>
      <c r="F31" s="44">
        <f t="shared" si="11"/>
        <v>100</v>
      </c>
      <c r="G31" s="44">
        <f t="shared" si="11"/>
        <v>130</v>
      </c>
      <c r="H31" s="44">
        <f t="shared" si="11"/>
        <v>100</v>
      </c>
      <c r="I31" s="74">
        <f t="shared" si="11"/>
        <v>130</v>
      </c>
      <c r="J31" s="44">
        <f t="shared" si="11"/>
        <v>160</v>
      </c>
      <c r="K31" s="74">
        <f>K28*K21</f>
        <v>160</v>
      </c>
      <c r="L31" s="44">
        <f>L28*L21</f>
        <v>160</v>
      </c>
      <c r="M31" s="44" t="s">
        <v>127</v>
      </c>
      <c r="N31" s="49"/>
      <c r="P31" s="85">
        <f>P27*P30</f>
        <v>5.3014376029327774</v>
      </c>
      <c r="Q31" s="42" t="s">
        <v>304</v>
      </c>
      <c r="R31" s="43"/>
      <c r="T31" s="39"/>
      <c r="U31" s="44"/>
      <c r="V31" s="44"/>
      <c r="W31" s="44"/>
      <c r="X31" s="49"/>
      <c r="Z31" s="39"/>
      <c r="AA31" s="44">
        <v>1</v>
      </c>
      <c r="AB31" s="44" t="s">
        <v>283</v>
      </c>
      <c r="AC31" s="33"/>
      <c r="AD31" s="49"/>
      <c r="AF31" s="39"/>
      <c r="AG31" s="44">
        <v>1</v>
      </c>
      <c r="AH31" s="44" t="s">
        <v>283</v>
      </c>
      <c r="AI31" s="33"/>
      <c r="AJ31" s="49"/>
    </row>
    <row r="32" spans="2:36">
      <c r="B32" s="81">
        <f>B28*(B26/1000)</f>
        <v>0.33333333333333331</v>
      </c>
      <c r="C32" s="33">
        <f>C28*(C26/1000)</f>
        <v>0.33333333333333331</v>
      </c>
      <c r="D32" s="33">
        <f t="shared" ref="D32:L32" si="12">D28*(D26/1000)</f>
        <v>0.53333333333333333</v>
      </c>
      <c r="E32" s="82">
        <f t="shared" si="12"/>
        <v>0.75075075075075071</v>
      </c>
      <c r="F32" s="33">
        <f t="shared" si="12"/>
        <v>0.33333333333333331</v>
      </c>
      <c r="G32" s="33">
        <f t="shared" si="12"/>
        <v>0.43333333333333329</v>
      </c>
      <c r="H32" s="33">
        <f t="shared" si="12"/>
        <v>0.33333333333333331</v>
      </c>
      <c r="I32" s="82">
        <f t="shared" si="12"/>
        <v>0.43333333333333329</v>
      </c>
      <c r="J32" s="33">
        <f t="shared" si="12"/>
        <v>0.53333333333333333</v>
      </c>
      <c r="K32" s="82">
        <f t="shared" si="12"/>
        <v>0.53333333333333333</v>
      </c>
      <c r="L32" s="33">
        <f t="shared" si="12"/>
        <v>0.53333333333333333</v>
      </c>
      <c r="M32" s="44" t="s">
        <v>128</v>
      </c>
      <c r="N32" s="49"/>
      <c r="S32" s="31"/>
      <c r="T32" s="39" t="s">
        <v>310</v>
      </c>
      <c r="U32" s="44">
        <v>3.2000000000000001E-2</v>
      </c>
      <c r="V32" s="44">
        <v>2.5999999999999999E-2</v>
      </c>
      <c r="W32" s="44" t="s">
        <v>3</v>
      </c>
      <c r="X32" s="49"/>
      <c r="Z32" s="39"/>
      <c r="AA32" s="44" t="s">
        <v>284</v>
      </c>
      <c r="AB32" s="44" t="s">
        <v>285</v>
      </c>
      <c r="AC32" s="33">
        <f>AC27*AC29</f>
        <v>473.6</v>
      </c>
      <c r="AD32" s="49"/>
      <c r="AF32" s="39"/>
      <c r="AG32" s="44" t="s">
        <v>284</v>
      </c>
      <c r="AH32" s="44" t="s">
        <v>285</v>
      </c>
      <c r="AI32" s="33">
        <f>AI27*AI29</f>
        <v>394.66666666666669</v>
      </c>
      <c r="AJ32" s="49"/>
    </row>
    <row r="33" spans="2:36">
      <c r="B33" s="39"/>
      <c r="C33" s="44"/>
      <c r="D33" s="44"/>
      <c r="E33" s="74"/>
      <c r="F33" s="44"/>
      <c r="G33" s="44"/>
      <c r="H33" s="44"/>
      <c r="I33" s="74"/>
      <c r="J33" s="44"/>
      <c r="K33" s="74"/>
      <c r="L33" s="44"/>
      <c r="M33" s="44"/>
      <c r="N33" s="49"/>
      <c r="T33" s="39" t="s">
        <v>150</v>
      </c>
      <c r="U33" s="65">
        <f>U32*25.4</f>
        <v>0.81279999999999997</v>
      </c>
      <c r="V33" s="65">
        <f>V32*25.4</f>
        <v>0.66039999999999999</v>
      </c>
      <c r="W33" s="44" t="s">
        <v>2</v>
      </c>
      <c r="X33" s="49"/>
      <c r="Z33" s="39">
        <f>MAX(AA36,AB36)</f>
        <v>0.45599999999999996</v>
      </c>
      <c r="AA33" s="44">
        <v>6.2E-2</v>
      </c>
      <c r="AB33" s="44">
        <v>1.9E-2</v>
      </c>
      <c r="AC33" s="33"/>
      <c r="AD33" s="49"/>
      <c r="AF33" s="39">
        <f>MAX(AG36,AH36)</f>
        <v>0.28800000000000003</v>
      </c>
      <c r="AG33" s="44">
        <v>4.8000000000000001E-2</v>
      </c>
      <c r="AH33" s="44">
        <v>1.7000000000000001E-2</v>
      </c>
      <c r="AI33" s="33"/>
      <c r="AJ33" s="49"/>
    </row>
    <row r="34" spans="2:36">
      <c r="B34" s="77">
        <f t="shared" ref="B34:L34" si="13">1630/660</f>
        <v>2.4696969696969697</v>
      </c>
      <c r="C34" s="66">
        <f t="shared" si="13"/>
        <v>2.4696969696969697</v>
      </c>
      <c r="D34" s="66">
        <f t="shared" si="13"/>
        <v>2.4696969696969697</v>
      </c>
      <c r="E34" s="78">
        <f t="shared" si="13"/>
        <v>2.4696969696969697</v>
      </c>
      <c r="F34" s="66">
        <f t="shared" si="13"/>
        <v>2.4696969696969697</v>
      </c>
      <c r="G34" s="66">
        <f t="shared" si="13"/>
        <v>2.4696969696969697</v>
      </c>
      <c r="H34" s="66">
        <f t="shared" si="13"/>
        <v>2.4696969696969697</v>
      </c>
      <c r="I34" s="78">
        <f t="shared" si="13"/>
        <v>2.4696969696969697</v>
      </c>
      <c r="J34" s="66">
        <f t="shared" si="13"/>
        <v>2.4696969696969697</v>
      </c>
      <c r="K34" s="78">
        <f t="shared" si="13"/>
        <v>2.4696969696969697</v>
      </c>
      <c r="L34" s="66">
        <f t="shared" si="13"/>
        <v>2.4696969696969697</v>
      </c>
      <c r="M34" s="44" t="s">
        <v>296</v>
      </c>
      <c r="N34" s="49"/>
      <c r="S34" s="31"/>
      <c r="T34" s="39" t="s">
        <v>84</v>
      </c>
      <c r="U34" s="44">
        <v>90</v>
      </c>
      <c r="V34" s="44">
        <v>100</v>
      </c>
      <c r="W34" s="44"/>
      <c r="X34" s="49"/>
      <c r="Z34" s="39">
        <f>AA37+AB37</f>
        <v>0.13800000000000001</v>
      </c>
      <c r="AA34" s="44">
        <f>AA33*25.4</f>
        <v>1.5748</v>
      </c>
      <c r="AB34" s="44">
        <f>AB33*25.4</f>
        <v>0.48259999999999997</v>
      </c>
      <c r="AC34" s="33"/>
      <c r="AD34" s="49"/>
      <c r="AF34" s="39">
        <f>AG37+AH37</f>
        <v>0.13300000000000001</v>
      </c>
      <c r="AG34" s="44">
        <f>AG33*25.4</f>
        <v>1.2192000000000001</v>
      </c>
      <c r="AH34" s="44">
        <f>AH33*25.4</f>
        <v>0.43180000000000002</v>
      </c>
      <c r="AI34" s="33"/>
      <c r="AJ34" s="49"/>
    </row>
    <row r="35" spans="2:36">
      <c r="B35" s="39"/>
      <c r="C35" s="44"/>
      <c r="D35" s="44"/>
      <c r="E35" s="74"/>
      <c r="F35" s="44"/>
      <c r="G35" s="44"/>
      <c r="H35" s="44"/>
      <c r="I35" s="74"/>
      <c r="J35" s="44"/>
      <c r="K35" s="74"/>
      <c r="L35" s="44"/>
      <c r="M35" s="44"/>
      <c r="N35" s="49"/>
      <c r="T35" s="39" t="s">
        <v>309</v>
      </c>
      <c r="U35" s="44">
        <f>(U28-U27)/2*U29/100</f>
        <v>0.76</v>
      </c>
      <c r="V35" s="44">
        <f>(V28-V27)/2*V29/100</f>
        <v>0.49</v>
      </c>
      <c r="W35" s="44" t="s">
        <v>17</v>
      </c>
      <c r="X35" s="49"/>
      <c r="Z35" s="39"/>
      <c r="AA35" s="44">
        <f>AA34*AA31</f>
        <v>1.5748</v>
      </c>
      <c r="AB35" s="44">
        <f>AB34*AA30</f>
        <v>1.9303999999999999</v>
      </c>
      <c r="AC35" s="33"/>
      <c r="AD35" s="49"/>
      <c r="AF35" s="39"/>
      <c r="AG35" s="44">
        <f>AG34*AG31</f>
        <v>1.2192000000000001</v>
      </c>
      <c r="AH35" s="44">
        <f>AH34*AG30</f>
        <v>2.1590000000000003</v>
      </c>
      <c r="AI35" s="33"/>
      <c r="AJ35" s="49"/>
    </row>
    <row r="36" spans="2:36">
      <c r="B36" s="75">
        <f t="shared" ref="B36" si="14">B30/B34</f>
        <v>607.36196319018404</v>
      </c>
      <c r="C36" s="56">
        <f t="shared" ref="C36:L36" si="15">C30/C34</f>
        <v>607.36196319018404</v>
      </c>
      <c r="D36" s="56">
        <f t="shared" si="15"/>
        <v>730.66100834909355</v>
      </c>
      <c r="E36" s="76">
        <f t="shared" ref="E36" si="16">E30/E34</f>
        <v>1141.6578255454585</v>
      </c>
      <c r="F36" s="56">
        <f t="shared" si="15"/>
        <v>607.36196319018404</v>
      </c>
      <c r="G36" s="56">
        <f>G30/G34</f>
        <v>789.57055214723925</v>
      </c>
      <c r="H36" s="56">
        <f t="shared" ref="H36" si="17">H30/H34</f>
        <v>456.66313021818343</v>
      </c>
      <c r="I36" s="76">
        <f t="shared" si="15"/>
        <v>593.66206928363852</v>
      </c>
      <c r="J36" s="56">
        <f t="shared" si="15"/>
        <v>730.66100834909355</v>
      </c>
      <c r="K36" s="76">
        <f>K30/K34</f>
        <v>656.60752777317191</v>
      </c>
      <c r="L36" s="56">
        <f t="shared" si="15"/>
        <v>730.66100834909355</v>
      </c>
      <c r="M36" s="44" t="s">
        <v>131</v>
      </c>
      <c r="N36" s="49"/>
      <c r="T36" s="39" t="s">
        <v>265</v>
      </c>
      <c r="U36" s="66">
        <f>PI() * (U28-((U28-U27)/2)) /10 * U35</f>
        <v>8.4760169793852622</v>
      </c>
      <c r="V36" s="66">
        <f>PI() * (V28-((V28-V27)/2)) /10 * V35</f>
        <v>4.6181412007769955</v>
      </c>
      <c r="W36" s="44" t="s">
        <v>21</v>
      </c>
      <c r="X36" s="49"/>
      <c r="Z36" s="39">
        <f>AA39/25.4</f>
        <v>0.45600000000000002</v>
      </c>
      <c r="AA36" s="44">
        <f>AA28*AA33</f>
        <v>0.372</v>
      </c>
      <c r="AB36" s="44">
        <f>AA29*AB33</f>
        <v>0.45599999999999996</v>
      </c>
      <c r="AC36" s="33"/>
      <c r="AD36" s="49"/>
      <c r="AF36" s="39">
        <f>AG39/25.4</f>
        <v>0.28800000000000003</v>
      </c>
      <c r="AG36" s="44">
        <f>AG28*AG33</f>
        <v>0.28800000000000003</v>
      </c>
      <c r="AH36" s="44">
        <f>AG29*AH33</f>
        <v>0.27200000000000002</v>
      </c>
      <c r="AI36" s="33"/>
      <c r="AJ36" s="49"/>
    </row>
    <row r="37" spans="2:36">
      <c r="B37" s="75">
        <f t="shared" ref="B37" si="18">B31/B34</f>
        <v>40.490797546012267</v>
      </c>
      <c r="C37" s="56">
        <f t="shared" ref="C37:L37" si="19">C31/C34</f>
        <v>40.490797546012267</v>
      </c>
      <c r="D37" s="56">
        <f t="shared" si="19"/>
        <v>64.785276073619627</v>
      </c>
      <c r="E37" s="76">
        <f t="shared" ref="E37" si="20">E31/E34</f>
        <v>91.195489968496105</v>
      </c>
      <c r="F37" s="56">
        <f t="shared" si="19"/>
        <v>40.490797546012267</v>
      </c>
      <c r="G37" s="56">
        <f>G31/G34</f>
        <v>52.638036809815951</v>
      </c>
      <c r="H37" s="56">
        <f t="shared" ref="H37" si="21">H31/H34</f>
        <v>40.490797546012267</v>
      </c>
      <c r="I37" s="76">
        <f t="shared" si="19"/>
        <v>52.638036809815951</v>
      </c>
      <c r="J37" s="56">
        <f t="shared" si="19"/>
        <v>64.785276073619627</v>
      </c>
      <c r="K37" s="76">
        <f>K31/K34</f>
        <v>64.785276073619627</v>
      </c>
      <c r="L37" s="56">
        <f t="shared" si="19"/>
        <v>64.785276073619627</v>
      </c>
      <c r="M37" s="44" t="s">
        <v>132</v>
      </c>
      <c r="N37" s="49" t="s">
        <v>248</v>
      </c>
      <c r="T37" s="39" t="s">
        <v>8</v>
      </c>
      <c r="U37" s="44">
        <v>31.5</v>
      </c>
      <c r="V37" s="44">
        <v>17</v>
      </c>
      <c r="W37" s="44" t="s">
        <v>9</v>
      </c>
      <c r="X37" s="49"/>
      <c r="Z37" s="39">
        <f>AA40/25.4</f>
        <v>0.13800000000000001</v>
      </c>
      <c r="AA37" s="44">
        <f>AA31*AA33</f>
        <v>6.2E-2</v>
      </c>
      <c r="AB37" s="44">
        <f>AA30*AB33</f>
        <v>7.5999999999999998E-2</v>
      </c>
      <c r="AC37" s="33"/>
      <c r="AD37" s="49"/>
      <c r="AF37" s="39">
        <f>AG40/25.4</f>
        <v>0.13300000000000003</v>
      </c>
      <c r="AG37" s="44">
        <f>AG31*AG33</f>
        <v>4.8000000000000001E-2</v>
      </c>
      <c r="AH37" s="44">
        <f>AG30*AH33</f>
        <v>8.5000000000000006E-2</v>
      </c>
      <c r="AI37" s="33"/>
      <c r="AJ37" s="49"/>
    </row>
    <row r="38" spans="2:36">
      <c r="B38" s="39"/>
      <c r="C38" s="44"/>
      <c r="D38" s="44"/>
      <c r="E38" s="74"/>
      <c r="F38" s="44"/>
      <c r="G38" s="44"/>
      <c r="H38" s="44"/>
      <c r="I38" s="74"/>
      <c r="J38" s="44"/>
      <c r="K38" s="74"/>
      <c r="L38" s="44"/>
      <c r="M38" s="44"/>
      <c r="N38" s="49"/>
      <c r="T38" s="39" t="s">
        <v>6</v>
      </c>
      <c r="U38" s="33">
        <f>U37/U36</f>
        <v>3.7163682041472965</v>
      </c>
      <c r="V38" s="33">
        <f>V37/V36</f>
        <v>3.6811347381798925</v>
      </c>
      <c r="W38" s="44" t="s">
        <v>34</v>
      </c>
      <c r="X38" s="49"/>
      <c r="Z38" s="39"/>
      <c r="AA38" s="44"/>
      <c r="AB38" s="44"/>
      <c r="AC38" s="33"/>
      <c r="AD38" s="49"/>
      <c r="AF38" s="39"/>
      <c r="AG38" s="44"/>
      <c r="AH38" s="44"/>
      <c r="AI38" s="33"/>
      <c r="AJ38" s="49"/>
    </row>
    <row r="39" spans="2:36">
      <c r="B39" s="39" t="s">
        <v>276</v>
      </c>
      <c r="C39" s="44" t="s">
        <v>276</v>
      </c>
      <c r="D39" s="44" t="s">
        <v>276</v>
      </c>
      <c r="E39" s="74" t="s">
        <v>162</v>
      </c>
      <c r="F39" s="44" t="s">
        <v>276</v>
      </c>
      <c r="G39" s="44" t="s">
        <v>276</v>
      </c>
      <c r="H39" s="44" t="s">
        <v>279</v>
      </c>
      <c r="I39" s="74" t="s">
        <v>276</v>
      </c>
      <c r="J39" s="44" t="s">
        <v>276</v>
      </c>
      <c r="K39" s="74" t="s">
        <v>276</v>
      </c>
      <c r="L39" s="44" t="s">
        <v>276</v>
      </c>
      <c r="M39" s="44"/>
      <c r="N39" s="49"/>
      <c r="T39" s="39" t="s">
        <v>255</v>
      </c>
      <c r="U39" s="33">
        <f>((U28-U27) + (2*U29)  + (2*U33))/10* U30</f>
        <v>3.66256</v>
      </c>
      <c r="V39" s="33">
        <f>((V28-V27) + (2*V29)  + (2*V33))/10* V30</f>
        <v>2.93208</v>
      </c>
      <c r="W39" s="44" t="s">
        <v>130</v>
      </c>
      <c r="X39" s="49"/>
      <c r="Z39" s="39"/>
      <c r="AA39" s="44">
        <f>MAX(AA28*AA34,AA29*AB34)</f>
        <v>11.5824</v>
      </c>
      <c r="AB39" s="44" t="s">
        <v>280</v>
      </c>
      <c r="AC39" s="33"/>
      <c r="AD39" s="49"/>
      <c r="AF39" s="39"/>
      <c r="AG39" s="44">
        <f>MAX(AG28*AG34,AG29*AH34)</f>
        <v>7.3152000000000008</v>
      </c>
      <c r="AH39" s="44" t="s">
        <v>280</v>
      </c>
      <c r="AI39" s="33"/>
      <c r="AJ39" s="49"/>
    </row>
    <row r="40" spans="2:36" ht="17" thickBot="1">
      <c r="B40" s="41" t="s">
        <v>163</v>
      </c>
      <c r="C40" s="42" t="s">
        <v>163</v>
      </c>
      <c r="D40" s="42" t="s">
        <v>306</v>
      </c>
      <c r="E40" s="83" t="s">
        <v>161</v>
      </c>
      <c r="F40" s="42" t="s">
        <v>163</v>
      </c>
      <c r="G40" s="42" t="s">
        <v>306</v>
      </c>
      <c r="H40" s="42" t="s">
        <v>163</v>
      </c>
      <c r="I40" s="83" t="s">
        <v>306</v>
      </c>
      <c r="J40" s="42" t="s">
        <v>306</v>
      </c>
      <c r="K40" s="83" t="s">
        <v>306</v>
      </c>
      <c r="L40" s="42" t="s">
        <v>306</v>
      </c>
      <c r="M40" s="42"/>
      <c r="N40" s="43"/>
      <c r="T40" s="39" t="s">
        <v>256</v>
      </c>
      <c r="U40" s="56">
        <f xml:space="preserve"> PI() * (U27-U33)</f>
        <v>79.127922484496835</v>
      </c>
      <c r="V40" s="56">
        <f xml:space="preserve"> PI() * (V27-V33)</f>
        <v>70.181923244134538</v>
      </c>
      <c r="W40" s="44" t="s">
        <v>2</v>
      </c>
      <c r="X40" s="49"/>
      <c r="Z40" s="39"/>
      <c r="AA40" s="44">
        <f>AA35+AB35</f>
        <v>3.5051999999999999</v>
      </c>
      <c r="AB40" s="44" t="s">
        <v>281</v>
      </c>
      <c r="AC40" s="33"/>
      <c r="AD40" s="49"/>
      <c r="AF40" s="39"/>
      <c r="AG40" s="44">
        <f>AG35+AH35</f>
        <v>3.3782000000000005</v>
      </c>
      <c r="AH40" s="44" t="s">
        <v>281</v>
      </c>
      <c r="AI40" s="33"/>
      <c r="AJ40" s="49"/>
    </row>
    <row r="41" spans="2:36">
      <c r="T41" s="39" t="s">
        <v>311</v>
      </c>
      <c r="U41" s="67">
        <f>(U33*U34)/U40</f>
        <v>0.92447770272664909</v>
      </c>
      <c r="V41" s="67">
        <f>(V33*V34)/V40</f>
        <v>0.94098304730512339</v>
      </c>
      <c r="W41" s="44"/>
      <c r="X41" s="49"/>
      <c r="Z41" s="39"/>
      <c r="AA41" s="44"/>
      <c r="AB41" s="44"/>
      <c r="AC41" s="33"/>
      <c r="AD41" s="49"/>
      <c r="AF41" s="39"/>
      <c r="AG41" s="44"/>
      <c r="AH41" s="44"/>
      <c r="AI41" s="44"/>
      <c r="AJ41" s="49"/>
    </row>
    <row r="42" spans="2:36">
      <c r="T42" s="39" t="s">
        <v>261</v>
      </c>
      <c r="U42" s="33">
        <f>U34*U39 /100</f>
        <v>3.2963040000000001</v>
      </c>
      <c r="V42" s="33">
        <f>V34*V39 /100</f>
        <v>2.9320800000000005</v>
      </c>
      <c r="W42" s="44" t="s">
        <v>313</v>
      </c>
      <c r="X42" s="49"/>
      <c r="Z42" s="39"/>
      <c r="AA42" s="44"/>
      <c r="AB42" s="44"/>
      <c r="AC42" s="33"/>
      <c r="AD42" s="49"/>
      <c r="AF42" s="39"/>
      <c r="AG42" s="44"/>
      <c r="AH42" s="44"/>
      <c r="AI42" s="44"/>
      <c r="AJ42" s="49"/>
    </row>
    <row r="43" spans="2:36">
      <c r="T43" s="39" t="s">
        <v>262</v>
      </c>
      <c r="U43" s="56">
        <f>U42*100 / (2.54 * 12)</f>
        <v>10.814645669291339</v>
      </c>
      <c r="V43" s="56">
        <f>V42*100 / (2.54 * 12)</f>
        <v>9.6196850393700792</v>
      </c>
      <c r="W43" s="44" t="s">
        <v>314</v>
      </c>
      <c r="X43" s="49"/>
      <c r="Z43" s="39"/>
      <c r="AA43" s="44">
        <v>0.70699999999999996</v>
      </c>
      <c r="AB43" s="44"/>
      <c r="AC43" s="33"/>
      <c r="AD43" s="49"/>
      <c r="AF43" s="39"/>
      <c r="AG43" s="44">
        <v>0.70699999999999996</v>
      </c>
      <c r="AH43" s="44" t="s">
        <v>292</v>
      </c>
      <c r="AI43" s="44"/>
      <c r="AJ43" s="49"/>
    </row>
    <row r="44" spans="2:36">
      <c r="T44" s="39" t="s">
        <v>315</v>
      </c>
      <c r="U44" s="44">
        <v>1.5</v>
      </c>
      <c r="V44" s="44">
        <v>1.5</v>
      </c>
      <c r="W44" s="44" t="s">
        <v>130</v>
      </c>
      <c r="X44" s="49"/>
      <c r="Z44" s="39"/>
      <c r="AA44" s="44">
        <v>0.42699999999999999</v>
      </c>
      <c r="AB44" s="44"/>
      <c r="AC44" s="33"/>
      <c r="AD44" s="49"/>
      <c r="AF44" s="39"/>
      <c r="AG44" s="44">
        <v>0.42699999999999999</v>
      </c>
      <c r="AH44" s="44" t="s">
        <v>293</v>
      </c>
      <c r="AI44" s="44"/>
      <c r="AJ44" s="49"/>
    </row>
    <row r="45" spans="2:36">
      <c r="T45" s="39"/>
      <c r="U45" s="56">
        <f>U42*100/(PI() * $U44)</f>
        <v>69.949743404478269</v>
      </c>
      <c r="V45" s="56">
        <f>V42*100/(PI() * $U44)</f>
        <v>62.22067007211794</v>
      </c>
      <c r="W45" s="44" t="s">
        <v>84</v>
      </c>
      <c r="X45" s="49"/>
      <c r="Z45" s="39"/>
      <c r="AA45" s="44">
        <f>AA43-AA44</f>
        <v>0.27999999999999997</v>
      </c>
      <c r="AB45" s="44"/>
      <c r="AC45" s="33"/>
      <c r="AD45" s="49"/>
      <c r="AF45" s="39"/>
      <c r="AG45" s="44">
        <f>AG43-AG44</f>
        <v>0.27999999999999997</v>
      </c>
      <c r="AH45" s="44" t="s">
        <v>290</v>
      </c>
      <c r="AI45" s="44"/>
      <c r="AJ45" s="49"/>
    </row>
    <row r="46" spans="2:36" ht="17" thickBot="1">
      <c r="T46" s="39" t="s">
        <v>263</v>
      </c>
      <c r="U46" s="56">
        <f>U43*3</f>
        <v>32.44393700787402</v>
      </c>
      <c r="V46" s="56">
        <f>V43*3</f>
        <v>28.859055118110238</v>
      </c>
      <c r="W46" s="44" t="s">
        <v>266</v>
      </c>
      <c r="X46" s="49"/>
      <c r="Z46" s="41"/>
      <c r="AA46" s="42">
        <f>AA45/2</f>
        <v>0.13999999999999999</v>
      </c>
      <c r="AB46" s="42"/>
      <c r="AC46" s="50"/>
      <c r="AD46" s="43"/>
      <c r="AF46" s="41"/>
      <c r="AG46" s="42">
        <f>AG45/2</f>
        <v>0.13999999999999999</v>
      </c>
      <c r="AH46" s="42" t="s">
        <v>291</v>
      </c>
      <c r="AI46" s="42"/>
      <c r="AJ46" s="43"/>
    </row>
    <row r="47" spans="2:36">
      <c r="T47" s="39"/>
      <c r="U47" s="44"/>
      <c r="V47" s="44"/>
      <c r="W47" s="44"/>
      <c r="X47" s="49"/>
    </row>
    <row r="48" spans="2:36" ht="17" thickBot="1">
      <c r="T48" s="41"/>
      <c r="U48" s="68">
        <f>U45*U32</f>
        <v>2.2383917889433045</v>
      </c>
      <c r="V48" s="68">
        <f>V45*V32</f>
        <v>1.6177374218750664</v>
      </c>
      <c r="W48" s="42" t="s">
        <v>269</v>
      </c>
      <c r="X48" s="43"/>
    </row>
    <row r="53" spans="16:33">
      <c r="T53" s="64" t="s">
        <v>322</v>
      </c>
      <c r="X53" s="64" t="s">
        <v>322</v>
      </c>
      <c r="AC53" s="64" t="s">
        <v>322</v>
      </c>
    </row>
    <row r="54" spans="16:33">
      <c r="T54" s="63"/>
      <c r="U54" s="32"/>
      <c r="V54" s="52"/>
      <c r="X54" s="51" t="s">
        <v>271</v>
      </c>
      <c r="Y54" s="32">
        <v>2500</v>
      </c>
      <c r="Z54" s="52" t="s">
        <v>264</v>
      </c>
      <c r="AC54" s="51" t="s">
        <v>271</v>
      </c>
      <c r="AD54" s="32">
        <v>5000</v>
      </c>
      <c r="AE54" s="32" t="s">
        <v>264</v>
      </c>
      <c r="AF54" s="32"/>
      <c r="AG54" s="52"/>
    </row>
    <row r="55" spans="16:33">
      <c r="T55" s="53" t="s">
        <v>101</v>
      </c>
      <c r="U55" s="54">
        <v>1250000</v>
      </c>
      <c r="V55" s="55"/>
      <c r="X55" s="53" t="s">
        <v>272</v>
      </c>
      <c r="Y55" s="54">
        <v>4.7000000000000003E-10</v>
      </c>
      <c r="Z55" s="55" t="s">
        <v>273</v>
      </c>
      <c r="AC55" s="53" t="s">
        <v>272</v>
      </c>
      <c r="AD55" s="54">
        <v>3.9E-10</v>
      </c>
      <c r="AE55" s="44" t="s">
        <v>273</v>
      </c>
      <c r="AF55" s="44"/>
      <c r="AG55" s="55"/>
    </row>
    <row r="56" spans="16:33">
      <c r="T56" s="53" t="s">
        <v>270</v>
      </c>
      <c r="U56" s="44">
        <v>0.9</v>
      </c>
      <c r="V56" s="55"/>
      <c r="X56" s="53" t="s">
        <v>270</v>
      </c>
      <c r="Y56" s="33">
        <f>1-(300/Y54)</f>
        <v>0.88</v>
      </c>
      <c r="Z56" s="55" t="s">
        <v>274</v>
      </c>
      <c r="AC56" s="53" t="s">
        <v>270</v>
      </c>
      <c r="AD56" s="33">
        <f>1-(300/AD54)</f>
        <v>0.94</v>
      </c>
      <c r="AE56" s="44" t="s">
        <v>274</v>
      </c>
      <c r="AF56" s="44"/>
      <c r="AG56" s="55"/>
    </row>
    <row r="57" spans="16:33">
      <c r="T57" s="53"/>
      <c r="U57" s="44"/>
      <c r="V57" s="55"/>
      <c r="X57" s="53" t="s">
        <v>101</v>
      </c>
      <c r="Y57" s="54">
        <f xml:space="preserve"> (1.6*Y56)/(Y54*Y55)</f>
        <v>1198297.8723404256</v>
      </c>
      <c r="Z57" s="55" t="s">
        <v>63</v>
      </c>
      <c r="AC57" s="53" t="s">
        <v>101</v>
      </c>
      <c r="AD57" s="54">
        <f xml:space="preserve"> (1.6*AD56)/(AD54*AD55)</f>
        <v>771282.05128205125</v>
      </c>
      <c r="AE57" s="44" t="s">
        <v>63</v>
      </c>
      <c r="AF57" s="56">
        <f>1/AD57*(1-AD56)*1000000000</f>
        <v>77.792553191489432</v>
      </c>
      <c r="AG57" s="55" t="s">
        <v>289</v>
      </c>
    </row>
    <row r="58" spans="16:33">
      <c r="T58" s="53" t="s">
        <v>271</v>
      </c>
      <c r="U58" s="56">
        <f>3/(0.01*(1-U56))</f>
        <v>3000.0000000000005</v>
      </c>
      <c r="V58" s="55" t="s">
        <v>264</v>
      </c>
      <c r="X58" s="53"/>
      <c r="Y58" s="44"/>
      <c r="Z58" s="55"/>
      <c r="AC58" s="53"/>
      <c r="AD58" s="56">
        <f>1/AD57*1000000000</f>
        <v>1296.5425531914896</v>
      </c>
      <c r="AE58" s="44" t="s">
        <v>288</v>
      </c>
      <c r="AF58" s="44"/>
      <c r="AG58" s="55"/>
    </row>
    <row r="59" spans="16:33">
      <c r="T59" s="57" t="s">
        <v>272</v>
      </c>
      <c r="U59" s="58">
        <f>(1.6*U56)/(U58*U55)</f>
        <v>3.8400000000000002E-10</v>
      </c>
      <c r="V59" s="59" t="s">
        <v>273</v>
      </c>
      <c r="X59" s="53"/>
      <c r="Y59" s="44"/>
      <c r="Z59" s="55"/>
      <c r="AC59" s="53"/>
      <c r="AD59" s="44"/>
      <c r="AE59" s="44"/>
      <c r="AF59" s="44"/>
      <c r="AG59" s="55"/>
    </row>
    <row r="60" spans="16:33">
      <c r="T60" s="63"/>
      <c r="U60" s="32"/>
      <c r="V60" s="52"/>
      <c r="X60" s="53" t="s">
        <v>271</v>
      </c>
      <c r="Y60" s="44">
        <v>2700</v>
      </c>
      <c r="Z60" s="55" t="s">
        <v>264</v>
      </c>
      <c r="AC60" s="53" t="s">
        <v>271</v>
      </c>
      <c r="AD60" s="44">
        <v>3500</v>
      </c>
      <c r="AE60" s="44" t="s">
        <v>264</v>
      </c>
      <c r="AF60" s="44"/>
      <c r="AG60" s="55"/>
    </row>
    <row r="61" spans="16:33">
      <c r="T61" s="53" t="s">
        <v>101</v>
      </c>
      <c r="U61" s="54">
        <v>1200000</v>
      </c>
      <c r="V61" s="55"/>
      <c r="X61" s="53" t="s">
        <v>272</v>
      </c>
      <c r="Y61" s="54">
        <v>4.7000000000000003E-10</v>
      </c>
      <c r="Z61" s="55" t="s">
        <v>273</v>
      </c>
      <c r="AC61" s="53" t="s">
        <v>272</v>
      </c>
      <c r="AD61" s="54">
        <v>3.9E-10</v>
      </c>
      <c r="AE61" s="44" t="s">
        <v>273</v>
      </c>
      <c r="AF61" s="44"/>
      <c r="AG61" s="55"/>
    </row>
    <row r="62" spans="16:33">
      <c r="P62" s="2"/>
      <c r="T62" s="53" t="s">
        <v>270</v>
      </c>
      <c r="U62" s="44">
        <v>0.88</v>
      </c>
      <c r="V62" s="55"/>
      <c r="X62" s="53" t="s">
        <v>270</v>
      </c>
      <c r="Y62" s="33">
        <f>1-(300/Y60)</f>
        <v>0.88888888888888884</v>
      </c>
      <c r="Z62" s="55" t="s">
        <v>274</v>
      </c>
      <c r="AC62" s="53" t="s">
        <v>270</v>
      </c>
      <c r="AD62" s="33">
        <f>1-(300/AD60)</f>
        <v>0.91428571428571426</v>
      </c>
      <c r="AE62" s="44" t="s">
        <v>274</v>
      </c>
      <c r="AF62" s="44"/>
      <c r="AG62" s="55"/>
    </row>
    <row r="63" spans="16:33">
      <c r="T63" s="53"/>
      <c r="U63" s="44"/>
      <c r="V63" s="55"/>
      <c r="X63" s="53" t="s">
        <v>101</v>
      </c>
      <c r="Y63" s="54">
        <f xml:space="preserve"> (1.6*Y62)/(Y60*Y61)</f>
        <v>1120742.4919008843</v>
      </c>
      <c r="Z63" s="55" t="s">
        <v>63</v>
      </c>
      <c r="AC63" s="53" t="s">
        <v>101</v>
      </c>
      <c r="AD63" s="54">
        <f xml:space="preserve"> (1.6*AD62)/(AD60*AD61)</f>
        <v>1071690.2145473573</v>
      </c>
      <c r="AE63" s="44" t="s">
        <v>63</v>
      </c>
      <c r="AF63" s="56">
        <f>1/AD63*(1-AD62)*1000000000</f>
        <v>79.980468750000043</v>
      </c>
      <c r="AG63" s="55" t="s">
        <v>289</v>
      </c>
    </row>
    <row r="64" spans="16:33">
      <c r="T64" s="53" t="s">
        <v>271</v>
      </c>
      <c r="U64" s="56">
        <f>3/(0.01*(1-U62))</f>
        <v>2500</v>
      </c>
      <c r="V64" s="55" t="s">
        <v>264</v>
      </c>
      <c r="X64" s="53"/>
      <c r="Y64" s="44"/>
      <c r="Z64" s="55"/>
      <c r="AC64" s="53"/>
      <c r="AD64" s="56">
        <f>1/AD63*1000000000</f>
        <v>933.10546875000011</v>
      </c>
      <c r="AE64" s="44" t="s">
        <v>288</v>
      </c>
      <c r="AF64" s="44"/>
      <c r="AG64" s="55"/>
    </row>
    <row r="65" spans="20:33">
      <c r="T65" s="57" t="s">
        <v>272</v>
      </c>
      <c r="U65" s="58">
        <f>(1.6*U62)/(U64*U61)</f>
        <v>4.6933333333333337E-10</v>
      </c>
      <c r="V65" s="59" t="s">
        <v>273</v>
      </c>
      <c r="X65" s="53"/>
      <c r="Y65" s="44"/>
      <c r="Z65" s="55"/>
      <c r="AC65" s="53"/>
      <c r="AD65" s="44"/>
      <c r="AE65" s="44"/>
      <c r="AF65" s="44"/>
      <c r="AG65" s="55"/>
    </row>
    <row r="66" spans="20:33">
      <c r="X66" s="53" t="s">
        <v>271</v>
      </c>
      <c r="Y66" s="44">
        <v>3000</v>
      </c>
      <c r="Z66" s="55" t="s">
        <v>264</v>
      </c>
      <c r="AC66" s="53" t="s">
        <v>271</v>
      </c>
      <c r="AD66" s="44">
        <v>3000</v>
      </c>
      <c r="AE66" s="44" t="s">
        <v>264</v>
      </c>
      <c r="AF66" s="44"/>
      <c r="AG66" s="55"/>
    </row>
    <row r="67" spans="20:33">
      <c r="X67" s="53" t="s">
        <v>272</v>
      </c>
      <c r="Y67" s="54">
        <v>4.7000000000000003E-10</v>
      </c>
      <c r="Z67" s="55" t="s">
        <v>273</v>
      </c>
      <c r="AC67" s="53" t="s">
        <v>272</v>
      </c>
      <c r="AD67" s="54">
        <v>3.9E-10</v>
      </c>
      <c r="AE67" s="44" t="s">
        <v>273</v>
      </c>
      <c r="AF67" s="44"/>
      <c r="AG67" s="55"/>
    </row>
    <row r="68" spans="20:33">
      <c r="X68" s="53" t="s">
        <v>270</v>
      </c>
      <c r="Y68" s="33">
        <f>1-(300/Y66)</f>
        <v>0.9</v>
      </c>
      <c r="Z68" s="55" t="s">
        <v>274</v>
      </c>
      <c r="AC68" s="53" t="s">
        <v>270</v>
      </c>
      <c r="AD68" s="33">
        <f>1-(300/AD66)</f>
        <v>0.9</v>
      </c>
      <c r="AE68" s="44" t="s">
        <v>274</v>
      </c>
      <c r="AF68" s="44"/>
      <c r="AG68" s="55"/>
    </row>
    <row r="69" spans="20:33">
      <c r="X69" s="53" t="s">
        <v>101</v>
      </c>
      <c r="Y69" s="54">
        <f xml:space="preserve"> (1.6*Y68)/(Y66*Y67)</f>
        <v>1021276.595744681</v>
      </c>
      <c r="Z69" s="55" t="s">
        <v>63</v>
      </c>
      <c r="AC69" s="53" t="s">
        <v>101</v>
      </c>
      <c r="AD69" s="54">
        <f xml:space="preserve"> (1.6*AD68)/(AD66*AD67)</f>
        <v>1230769.230769231</v>
      </c>
      <c r="AE69" s="44" t="s">
        <v>63</v>
      </c>
      <c r="AF69" s="56">
        <f>1/AD69*(1-AD68)*1000000000</f>
        <v>81.249999999999957</v>
      </c>
      <c r="AG69" s="55" t="s">
        <v>289</v>
      </c>
    </row>
    <row r="70" spans="20:33">
      <c r="X70" s="53"/>
      <c r="Y70" s="44"/>
      <c r="Z70" s="55"/>
      <c r="AC70" s="53"/>
      <c r="AD70" s="56">
        <f>1/AD69*1000000000</f>
        <v>812.49999999999989</v>
      </c>
      <c r="AE70" s="44" t="s">
        <v>288</v>
      </c>
      <c r="AF70" s="44"/>
      <c r="AG70" s="55"/>
    </row>
    <row r="71" spans="20:33">
      <c r="X71" s="53"/>
      <c r="Y71" s="44"/>
      <c r="Z71" s="55"/>
      <c r="AC71" s="53"/>
      <c r="AD71" s="44"/>
      <c r="AE71" s="44"/>
      <c r="AF71" s="44"/>
      <c r="AG71" s="55"/>
    </row>
    <row r="72" spans="20:33">
      <c r="X72" s="53" t="s">
        <v>271</v>
      </c>
      <c r="Y72" s="44">
        <v>2200</v>
      </c>
      <c r="Z72" s="55" t="s">
        <v>264</v>
      </c>
      <c r="AC72" s="53" t="s">
        <v>271</v>
      </c>
      <c r="AD72" s="44">
        <v>2500</v>
      </c>
      <c r="AE72" s="44" t="s">
        <v>264</v>
      </c>
      <c r="AF72" s="44"/>
      <c r="AG72" s="55"/>
    </row>
    <row r="73" spans="20:33">
      <c r="X73" s="53" t="s">
        <v>272</v>
      </c>
      <c r="Y73" s="54">
        <v>4.7000000000000003E-10</v>
      </c>
      <c r="Z73" s="55" t="s">
        <v>273</v>
      </c>
      <c r="AC73" s="53" t="s">
        <v>272</v>
      </c>
      <c r="AD73" s="54">
        <v>3.9E-10</v>
      </c>
      <c r="AE73" s="44" t="s">
        <v>273</v>
      </c>
      <c r="AF73" s="44"/>
      <c r="AG73" s="55"/>
    </row>
    <row r="74" spans="20:33">
      <c r="X74" s="53" t="s">
        <v>270</v>
      </c>
      <c r="Y74" s="33">
        <f>1-(300/Y72)</f>
        <v>0.86363636363636365</v>
      </c>
      <c r="Z74" s="55" t="s">
        <v>274</v>
      </c>
      <c r="AA74" s="5">
        <f>1/Y75*(1-Y74)*1000000000</f>
        <v>102.03947368421052</v>
      </c>
      <c r="AB74" t="s">
        <v>289</v>
      </c>
      <c r="AC74" s="53" t="s">
        <v>270</v>
      </c>
      <c r="AD74" s="33">
        <f>1-(300/AD72)</f>
        <v>0.88</v>
      </c>
      <c r="AE74" s="44" t="s">
        <v>274</v>
      </c>
      <c r="AF74" s="44"/>
      <c r="AG74" s="55"/>
    </row>
    <row r="75" spans="20:33">
      <c r="X75" s="57" t="s">
        <v>101</v>
      </c>
      <c r="Y75" s="60">
        <f xml:space="preserve"> (1.6*Y74)/(Y72*Y73)</f>
        <v>1336381.2203270618</v>
      </c>
      <c r="Z75" s="59" t="s">
        <v>63</v>
      </c>
      <c r="AA75" s="19">
        <f>Y74/Y75</f>
        <v>6.4624999999999995E-7</v>
      </c>
      <c r="AC75" s="53" t="s">
        <v>101</v>
      </c>
      <c r="AD75" s="54">
        <f xml:space="preserve"> (1.6*AD74)/(AD72*AD73)</f>
        <v>1444102.5641025642</v>
      </c>
      <c r="AE75" s="44" t="s">
        <v>63</v>
      </c>
      <c r="AF75" s="56">
        <f>1/AD75*(1-AD74)*1000000000</f>
        <v>83.096590909090892</v>
      </c>
      <c r="AG75" s="55" t="s">
        <v>289</v>
      </c>
    </row>
    <row r="76" spans="20:33">
      <c r="AC76" s="57"/>
      <c r="AD76" s="61">
        <f>1/AD75*1000000000</f>
        <v>692.47159090909076</v>
      </c>
      <c r="AE76" s="62" t="s">
        <v>288</v>
      </c>
      <c r="AF76" s="62"/>
      <c r="AG76" s="59"/>
    </row>
    <row r="95" spans="12:13" ht="17" thickBot="1"/>
    <row r="96" spans="12:13">
      <c r="L96" s="34">
        <v>13.33</v>
      </c>
      <c r="M96" s="36" t="s">
        <v>99</v>
      </c>
    </row>
    <row r="97" spans="12:13">
      <c r="L97" s="39">
        <v>0.76</v>
      </c>
      <c r="M97" s="49" t="s">
        <v>100</v>
      </c>
    </row>
    <row r="98" spans="12:13">
      <c r="L98" s="39">
        <v>625000</v>
      </c>
      <c r="M98" s="49" t="s">
        <v>101</v>
      </c>
    </row>
    <row r="99" spans="12:13">
      <c r="L99" s="39">
        <v>3</v>
      </c>
      <c r="M99" s="49" t="s">
        <v>102</v>
      </c>
    </row>
    <row r="100" spans="12:13">
      <c r="L100" s="39">
        <v>4</v>
      </c>
      <c r="M100" s="49" t="s">
        <v>103</v>
      </c>
    </row>
    <row r="101" spans="12:13">
      <c r="L101" s="75">
        <f t="shared" ref="L101" si="22">(L96*10^8)/(L97*L98*L99*L100)</f>
        <v>233.85964912280701</v>
      </c>
      <c r="M101" s="49" t="s">
        <v>98</v>
      </c>
    </row>
    <row r="102" spans="12:13">
      <c r="L102" s="77">
        <f t="shared" ref="L102" si="23">L101/10</f>
        <v>23.385964912280702</v>
      </c>
      <c r="M102" s="49" t="s">
        <v>98</v>
      </c>
    </row>
    <row r="103" spans="12:13">
      <c r="L103" s="39"/>
      <c r="M103" s="49"/>
    </row>
    <row r="104" spans="12:13">
      <c r="L104" s="79">
        <v>400</v>
      </c>
      <c r="M104" s="49" t="s">
        <v>120</v>
      </c>
    </row>
    <row r="105" spans="12:13">
      <c r="L105" s="81">
        <f>L104/L96</f>
        <v>30.007501875468868</v>
      </c>
      <c r="M105" s="49" t="s">
        <v>121</v>
      </c>
    </row>
    <row r="106" spans="12:13">
      <c r="L106" s="81">
        <f>L105/2</f>
        <v>15.003750937734434</v>
      </c>
      <c r="M106" s="49" t="s">
        <v>123</v>
      </c>
    </row>
    <row r="107" spans="12:13">
      <c r="L107" s="39"/>
      <c r="M107" s="49"/>
    </row>
    <row r="108" spans="12:13">
      <c r="L108" s="79">
        <v>300</v>
      </c>
      <c r="M108" s="49" t="s">
        <v>122</v>
      </c>
    </row>
    <row r="109" spans="12:13">
      <c r="L109" s="75">
        <f>L108/L96*L99</f>
        <v>67.516879219804949</v>
      </c>
      <c r="M109" s="49" t="s">
        <v>307</v>
      </c>
    </row>
    <row r="110" spans="12:13">
      <c r="L110" s="81">
        <f>L104/L108</f>
        <v>1.3333333333333333</v>
      </c>
      <c r="M110" s="49" t="s">
        <v>124</v>
      </c>
    </row>
    <row r="111" spans="12:13">
      <c r="L111" s="39"/>
      <c r="M111" s="49"/>
    </row>
    <row r="112" spans="12:13">
      <c r="L112" s="79">
        <v>400</v>
      </c>
      <c r="M112" s="49" t="s">
        <v>297</v>
      </c>
    </row>
    <row r="113" spans="12:13">
      <c r="L113" s="39"/>
      <c r="M113" s="49"/>
    </row>
    <row r="114" spans="12:13">
      <c r="L114" s="39">
        <f>L108*L112</f>
        <v>120000</v>
      </c>
      <c r="M114" s="49" t="s">
        <v>125</v>
      </c>
    </row>
    <row r="115" spans="12:13">
      <c r="L115" s="81">
        <f t="shared" ref="L115" si="24">L104/L114*1000</f>
        <v>3.3333333333333335</v>
      </c>
      <c r="M115" s="49" t="s">
        <v>129</v>
      </c>
    </row>
    <row r="116" spans="12:13">
      <c r="L116" s="39"/>
      <c r="M116" s="49"/>
    </row>
    <row r="117" spans="12:13">
      <c r="L117" s="39">
        <v>300</v>
      </c>
      <c r="M117" s="49" t="s">
        <v>294</v>
      </c>
    </row>
    <row r="118" spans="12:13">
      <c r="L118" s="39">
        <v>300</v>
      </c>
      <c r="M118" s="49" t="s">
        <v>295</v>
      </c>
    </row>
    <row r="119" spans="12:13">
      <c r="L119" s="77">
        <f>L117*L106</f>
        <v>4501.12528132033</v>
      </c>
      <c r="M119" s="49" t="s">
        <v>126</v>
      </c>
    </row>
    <row r="120" spans="12:13">
      <c r="L120" s="39">
        <f>L117*L110</f>
        <v>400</v>
      </c>
      <c r="M120" s="49" t="s">
        <v>127</v>
      </c>
    </row>
    <row r="121" spans="12:13">
      <c r="L121" s="81">
        <f t="shared" ref="L121" si="25">L117*(L115/1000)</f>
        <v>1</v>
      </c>
      <c r="M121" s="49" t="s">
        <v>128</v>
      </c>
    </row>
    <row r="122" spans="12:13">
      <c r="L122" s="39"/>
      <c r="M122" s="49"/>
    </row>
    <row r="123" spans="12:13">
      <c r="L123" s="77">
        <f t="shared" ref="L123" si="26">1630/660</f>
        <v>2.4696969696969697</v>
      </c>
      <c r="M123" s="49" t="s">
        <v>296</v>
      </c>
    </row>
    <row r="124" spans="12:13">
      <c r="L124" s="39"/>
      <c r="M124" s="49"/>
    </row>
    <row r="125" spans="12:13">
      <c r="L125" s="75">
        <f t="shared" ref="L125" si="27">L119/L123</f>
        <v>1822.5415249517901</v>
      </c>
      <c r="M125" s="49" t="s">
        <v>131</v>
      </c>
    </row>
    <row r="126" spans="12:13">
      <c r="L126" s="75">
        <f t="shared" ref="L126" si="28">L120/L123</f>
        <v>161.96319018404907</v>
      </c>
      <c r="M126" s="49" t="s">
        <v>132</v>
      </c>
    </row>
    <row r="127" spans="12:13">
      <c r="L127" s="39"/>
      <c r="M127" s="49"/>
    </row>
    <row r="128" spans="12:13">
      <c r="L128" s="39" t="s">
        <v>170</v>
      </c>
      <c r="M128" s="49"/>
    </row>
    <row r="129" spans="12:13" ht="17" thickBot="1">
      <c r="L129" s="41" t="s">
        <v>164</v>
      </c>
      <c r="M12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/>
  <cols>
    <col min="11" max="11" width="11.6640625" bestFit="1" customWidth="1"/>
    <col min="12" max="12" width="11.33203125" customWidth="1"/>
  </cols>
  <sheetData>
    <row r="3" spans="3:11">
      <c r="C3">
        <v>8.0000000000000002E-3</v>
      </c>
    </row>
    <row r="4" spans="3:11">
      <c r="C4">
        <f>C3*25.4</f>
        <v>0.20319999999999999</v>
      </c>
    </row>
    <row r="5" spans="3:11">
      <c r="H5" t="s">
        <v>200</v>
      </c>
    </row>
    <row r="6" spans="3:11">
      <c r="C6" t="s">
        <v>201</v>
      </c>
      <c r="H6" t="s">
        <v>179</v>
      </c>
      <c r="I6" t="s">
        <v>195</v>
      </c>
    </row>
    <row r="7" spans="3:11" ht="19">
      <c r="C7" s="24" t="s">
        <v>186</v>
      </c>
      <c r="D7" s="24">
        <v>30</v>
      </c>
      <c r="E7" s="25" t="s">
        <v>187</v>
      </c>
      <c r="H7">
        <v>30</v>
      </c>
      <c r="I7">
        <v>0</v>
      </c>
    </row>
    <row r="8" spans="3:11" ht="19">
      <c r="C8" s="24" t="s">
        <v>188</v>
      </c>
      <c r="D8" s="24">
        <v>0.30099999999999999</v>
      </c>
      <c r="E8" s="25" t="s">
        <v>130</v>
      </c>
      <c r="H8">
        <v>40</v>
      </c>
      <c r="I8">
        <v>100</v>
      </c>
    </row>
    <row r="9" spans="3:11" ht="19">
      <c r="C9" s="26" t="s">
        <v>189</v>
      </c>
      <c r="D9" s="26">
        <v>21</v>
      </c>
      <c r="E9" s="25" t="s">
        <v>130</v>
      </c>
      <c r="H9">
        <v>50</v>
      </c>
      <c r="I9">
        <f>I10-I8</f>
        <v>200</v>
      </c>
    </row>
    <row r="10" spans="3:11" ht="19">
      <c r="C10" s="26" t="s">
        <v>190</v>
      </c>
      <c r="D10" s="26">
        <v>2.5000000000000001E-2</v>
      </c>
      <c r="E10" s="25" t="s">
        <v>130</v>
      </c>
      <c r="H10">
        <v>60</v>
      </c>
      <c r="I10">
        <v>300</v>
      </c>
      <c r="J10">
        <f>I9/H9</f>
        <v>4</v>
      </c>
      <c r="K10" t="s">
        <v>198</v>
      </c>
    </row>
    <row r="11" spans="3:11" ht="19">
      <c r="C11" s="27" t="s">
        <v>9</v>
      </c>
      <c r="D11" s="28">
        <f>D7*(1+(D8/SQRT(D10)))</f>
        <v>87.110734542640927</v>
      </c>
      <c r="E11" s="25" t="s">
        <v>187</v>
      </c>
      <c r="H11" t="s">
        <v>178</v>
      </c>
      <c r="I11" t="s">
        <v>195</v>
      </c>
    </row>
    <row r="12" spans="3:11" ht="19">
      <c r="C12" s="27" t="s">
        <v>191</v>
      </c>
      <c r="D12" s="28">
        <f>D11*D10*LOG(D9/D10,2.718)</f>
        <v>14.665310181214844</v>
      </c>
      <c r="E12" s="25" t="s">
        <v>192</v>
      </c>
      <c r="H12">
        <v>0.1</v>
      </c>
      <c r="I12">
        <v>200</v>
      </c>
      <c r="J12">
        <f>I12/H12</f>
        <v>2000</v>
      </c>
      <c r="K12" t="s">
        <v>199</v>
      </c>
    </row>
    <row r="14" spans="3:11">
      <c r="C14" t="s">
        <v>202</v>
      </c>
      <c r="H14" t="s">
        <v>120</v>
      </c>
    </row>
    <row r="15" spans="3:11" ht="19">
      <c r="C15" s="24" t="s">
        <v>186</v>
      </c>
      <c r="D15" s="24">
        <v>30</v>
      </c>
      <c r="E15" s="25" t="s">
        <v>187</v>
      </c>
      <c r="H15">
        <f>H12*H9</f>
        <v>5</v>
      </c>
      <c r="I15">
        <v>200</v>
      </c>
      <c r="J15">
        <f>I15/H15</f>
        <v>40</v>
      </c>
      <c r="K15" t="s">
        <v>197</v>
      </c>
    </row>
    <row r="16" spans="3:11" ht="19">
      <c r="C16" s="24" t="s">
        <v>188</v>
      </c>
      <c r="D16" s="24">
        <v>0.30099999999999999</v>
      </c>
      <c r="E16" s="25" t="s">
        <v>130</v>
      </c>
    </row>
    <row r="17" spans="3:10" ht="19">
      <c r="C17" s="26" t="s">
        <v>189</v>
      </c>
      <c r="D17" s="26">
        <v>21</v>
      </c>
      <c r="E17" s="25" t="s">
        <v>130</v>
      </c>
    </row>
    <row r="18" spans="3:10" ht="19">
      <c r="C18" s="26" t="s">
        <v>190</v>
      </c>
      <c r="D18" s="26">
        <v>0.6</v>
      </c>
      <c r="E18" s="25" t="s">
        <v>130</v>
      </c>
    </row>
    <row r="19" spans="3:10" ht="19">
      <c r="C19" s="27" t="s">
        <v>9</v>
      </c>
      <c r="D19" s="28">
        <f>D15*(1+(D16/SQRT(D18)))</f>
        <v>41.657679872084323</v>
      </c>
      <c r="E19" s="25" t="s">
        <v>187</v>
      </c>
    </row>
    <row r="20" spans="3:10" ht="19">
      <c r="C20" s="27" t="s">
        <v>191</v>
      </c>
      <c r="D20" s="28">
        <f>D19*D18*LOG(D17/D18,2.718)</f>
        <v>88.87374563714863</v>
      </c>
      <c r="E20" s="25" t="s">
        <v>192</v>
      </c>
      <c r="H20" t="s">
        <v>196</v>
      </c>
      <c r="I20" s="4">
        <f>D12*2</f>
        <v>29.330620362429688</v>
      </c>
      <c r="J20" t="s">
        <v>179</v>
      </c>
    </row>
    <row r="21" spans="3:10">
      <c r="H21" t="s">
        <v>193</v>
      </c>
      <c r="I21" s="4">
        <f>D28</f>
        <v>205.59078000666895</v>
      </c>
      <c r="J21" t="s">
        <v>179</v>
      </c>
    </row>
    <row r="22" spans="3:10">
      <c r="C22" t="s">
        <v>203</v>
      </c>
      <c r="H22" t="s">
        <v>194</v>
      </c>
      <c r="I22">
        <v>4</v>
      </c>
      <c r="J22" t="s">
        <v>198</v>
      </c>
    </row>
    <row r="23" spans="3:10" ht="19">
      <c r="C23" s="24" t="s">
        <v>186</v>
      </c>
      <c r="D23" s="24">
        <v>30</v>
      </c>
      <c r="E23" s="25" t="s">
        <v>187</v>
      </c>
    </row>
    <row r="24" spans="3:10" ht="19">
      <c r="C24" s="24" t="s">
        <v>188</v>
      </c>
      <c r="D24" s="24">
        <v>0.30099999999999999</v>
      </c>
      <c r="E24" s="25" t="s">
        <v>130</v>
      </c>
    </row>
    <row r="25" spans="3:10" ht="19">
      <c r="C25" s="26" t="s">
        <v>189</v>
      </c>
      <c r="D25" s="26">
        <v>25</v>
      </c>
      <c r="E25" s="25" t="s">
        <v>130</v>
      </c>
      <c r="H25" t="s">
        <v>208</v>
      </c>
      <c r="I25" t="s">
        <v>143</v>
      </c>
    </row>
    <row r="26" spans="3:10" ht="19">
      <c r="C26" s="26" t="s">
        <v>190</v>
      </c>
      <c r="D26" s="26">
        <v>2.5</v>
      </c>
      <c r="E26" s="25" t="s">
        <v>130</v>
      </c>
      <c r="H26" t="s">
        <v>205</v>
      </c>
      <c r="I26">
        <v>0.127</v>
      </c>
    </row>
    <row r="27" spans="3:10" ht="19">
      <c r="C27" s="27" t="s">
        <v>9</v>
      </c>
      <c r="D27" s="28">
        <f>D23*(1+(D24/SQRT(D26)))</f>
        <v>35.711073454264096</v>
      </c>
      <c r="E27" s="25" t="s">
        <v>187</v>
      </c>
      <c r="H27" t="s">
        <v>206</v>
      </c>
      <c r="I27">
        <v>0.25459999999999999</v>
      </c>
    </row>
    <row r="28" spans="3:10" ht="19">
      <c r="C28" s="27" t="s">
        <v>191</v>
      </c>
      <c r="D28" s="28">
        <f>D27*D26*LOG(D25/D26,2.718)</f>
        <v>205.59078000666895</v>
      </c>
      <c r="E28" s="25" t="s">
        <v>192</v>
      </c>
      <c r="H28" t="s">
        <v>207</v>
      </c>
      <c r="I28">
        <v>0.3211</v>
      </c>
    </row>
    <row r="29" spans="3:10">
      <c r="H29" t="s">
        <v>137</v>
      </c>
      <c r="I29">
        <v>0.40400000000000003</v>
      </c>
    </row>
    <row r="30" spans="3:10">
      <c r="C30" t="s">
        <v>204</v>
      </c>
      <c r="H30" t="s">
        <v>167</v>
      </c>
      <c r="I30">
        <v>0.51</v>
      </c>
    </row>
    <row r="31" spans="3:10" ht="19">
      <c r="C31" s="24" t="s">
        <v>186</v>
      </c>
      <c r="D31" s="24">
        <v>30</v>
      </c>
      <c r="E31" s="25" t="s">
        <v>187</v>
      </c>
      <c r="H31" t="s">
        <v>209</v>
      </c>
      <c r="I31">
        <v>0.64380000000000004</v>
      </c>
    </row>
    <row r="32" spans="3:10" ht="19">
      <c r="C32" s="24" t="s">
        <v>188</v>
      </c>
      <c r="D32" s="24">
        <v>0.30099999999999999</v>
      </c>
      <c r="E32" s="25" t="s">
        <v>130</v>
      </c>
    </row>
    <row r="33" spans="3:22" ht="19">
      <c r="C33" s="26" t="s">
        <v>189</v>
      </c>
      <c r="D33" s="26">
        <v>25</v>
      </c>
      <c r="E33" s="25" t="s">
        <v>130</v>
      </c>
      <c r="J33" t="s">
        <v>210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>
      <c r="C34" s="26" t="s">
        <v>190</v>
      </c>
      <c r="D34" s="26">
        <v>5</v>
      </c>
      <c r="E34" s="25" t="s">
        <v>130</v>
      </c>
      <c r="J34" t="s">
        <v>217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>
      <c r="C35" s="27" t="s">
        <v>9</v>
      </c>
      <c r="D35" s="28">
        <f>D31*(1+(D32/SQRT(D34)))</f>
        <v>34.038338767364621</v>
      </c>
      <c r="E35" s="25" t="s">
        <v>187</v>
      </c>
      <c r="J35" t="s">
        <v>213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>
      <c r="C36" s="27" t="s">
        <v>191</v>
      </c>
      <c r="D36" s="28">
        <f>D35*D34*LOG(D33/D34,2.718)</f>
        <v>273.94136785339589</v>
      </c>
      <c r="E36" s="25" t="s">
        <v>192</v>
      </c>
      <c r="J36" t="s">
        <v>214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>
      <c r="J37" t="s">
        <v>211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>
      <c r="C38" t="s">
        <v>204</v>
      </c>
      <c r="J38" t="s">
        <v>212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>
      <c r="C39" s="24" t="s">
        <v>186</v>
      </c>
      <c r="D39" s="24">
        <v>30</v>
      </c>
      <c r="E39" s="25" t="s">
        <v>187</v>
      </c>
      <c r="J39" t="s">
        <v>215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>
      <c r="C40" s="24" t="s">
        <v>188</v>
      </c>
      <c r="D40" s="24">
        <v>0.30099999999999999</v>
      </c>
      <c r="E40" s="25" t="s">
        <v>130</v>
      </c>
      <c r="J40" t="s">
        <v>216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>
      <c r="C41" s="26" t="s">
        <v>189</v>
      </c>
      <c r="D41" s="26">
        <v>25</v>
      </c>
      <c r="E41" s="25" t="s">
        <v>130</v>
      </c>
    </row>
    <row r="42" spans="3:22" ht="19">
      <c r="C42" s="26" t="s">
        <v>190</v>
      </c>
      <c r="D42" s="26">
        <v>1</v>
      </c>
      <c r="E42" s="25" t="s">
        <v>130</v>
      </c>
      <c r="J42" t="s">
        <v>238</v>
      </c>
    </row>
    <row r="43" spans="3:22" ht="19">
      <c r="C43" s="27" t="s">
        <v>9</v>
      </c>
      <c r="D43" s="28">
        <f>D39*(1+(D40/SQRT(D42)))</f>
        <v>39.03</v>
      </c>
      <c r="E43" s="25" t="s">
        <v>187</v>
      </c>
      <c r="I43" s="29" t="s">
        <v>240</v>
      </c>
      <c r="J43" t="s">
        <v>210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>
      <c r="C44" s="27" t="s">
        <v>191</v>
      </c>
      <c r="D44" s="28">
        <f>D43*D42*LOG(D41/D42,2.718)</f>
        <v>125.64575093270162</v>
      </c>
      <c r="E44" s="25" t="s">
        <v>192</v>
      </c>
      <c r="J44" t="s">
        <v>241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>
      <c r="I45" s="29">
        <v>1.4</v>
      </c>
      <c r="J45" t="s">
        <v>217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>
      <c r="J46" t="s">
        <v>239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>
      <c r="C47" t="s">
        <v>236</v>
      </c>
      <c r="J47" t="s">
        <v>242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>
      <c r="C48" s="24" t="s">
        <v>186</v>
      </c>
      <c r="D48" s="24">
        <v>30</v>
      </c>
      <c r="E48" s="25" t="s">
        <v>187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>
      <c r="C49" s="24" t="s">
        <v>188</v>
      </c>
      <c r="D49" s="24">
        <v>0.30099999999999999</v>
      </c>
      <c r="E49" s="25" t="s">
        <v>130</v>
      </c>
    </row>
    <row r="50" spans="3:5" ht="19">
      <c r="C50" s="26" t="s">
        <v>189</v>
      </c>
      <c r="D50" s="26">
        <v>3.7</v>
      </c>
      <c r="E50" s="25" t="s">
        <v>130</v>
      </c>
    </row>
    <row r="51" spans="3:5" ht="19">
      <c r="C51" s="26" t="s">
        <v>190</v>
      </c>
      <c r="D51" s="26">
        <v>0.6</v>
      </c>
      <c r="E51" s="25" t="s">
        <v>130</v>
      </c>
    </row>
    <row r="52" spans="3:5" ht="19">
      <c r="C52" s="27" t="s">
        <v>9</v>
      </c>
      <c r="D52" s="28">
        <f>D48*(1+(D49/SQRT(D51)))</f>
        <v>41.657679872084323</v>
      </c>
      <c r="E52" s="25" t="s">
        <v>187</v>
      </c>
    </row>
    <row r="53" spans="3:5" ht="19">
      <c r="C53" s="27" t="s">
        <v>191</v>
      </c>
      <c r="D53" s="28">
        <f>D52*D51*LOG(D50/D51,2.718)</f>
        <v>45.473866968206337</v>
      </c>
      <c r="E53" s="25" t="s">
        <v>192</v>
      </c>
    </row>
    <row r="67" spans="10:14">
      <c r="J67">
        <v>1024</v>
      </c>
      <c r="K67">
        <v>12</v>
      </c>
      <c r="L67" s="2">
        <f>J67/K67</f>
        <v>85.333333333333329</v>
      </c>
      <c r="N67" t="s">
        <v>243</v>
      </c>
    </row>
    <row r="70" spans="10:14">
      <c r="J70">
        <v>1024</v>
      </c>
      <c r="K70">
        <v>2</v>
      </c>
      <c r="L70">
        <f>J70/K70</f>
        <v>512</v>
      </c>
    </row>
    <row r="71" spans="10:14">
      <c r="J71">
        <v>5000</v>
      </c>
      <c r="K71">
        <v>2</v>
      </c>
      <c r="L71">
        <f>J71/K71</f>
        <v>2500</v>
      </c>
    </row>
    <row r="75" spans="10:14">
      <c r="J75" t="s">
        <v>244</v>
      </c>
    </row>
    <row r="76" spans="10:14">
      <c r="J76" t="s">
        <v>245</v>
      </c>
    </row>
    <row r="78" spans="10:14">
      <c r="J78" t="s">
        <v>246</v>
      </c>
    </row>
    <row r="79" spans="10:14">
      <c r="J79" t="s">
        <v>247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/>
  <cols>
    <col min="3" max="3" width="12" customWidth="1"/>
  </cols>
  <sheetData>
    <row r="1" spans="3:9">
      <c r="E1">
        <v>-105343</v>
      </c>
    </row>
    <row r="2" spans="3:9">
      <c r="E2">
        <v>-105511</v>
      </c>
    </row>
    <row r="3" spans="3:9">
      <c r="E3">
        <v>-104826</v>
      </c>
    </row>
    <row r="4" spans="3:9">
      <c r="E4">
        <v>-105170</v>
      </c>
    </row>
    <row r="5" spans="3:9">
      <c r="E5">
        <v>-104889</v>
      </c>
    </row>
    <row r="6" spans="3:9">
      <c r="E6">
        <v>-105162</v>
      </c>
      <c r="G6">
        <v>583493</v>
      </c>
    </row>
    <row r="7" spans="3:9">
      <c r="E7">
        <v>-105526</v>
      </c>
      <c r="G7">
        <v>583402</v>
      </c>
      <c r="I7">
        <v>6850</v>
      </c>
    </row>
    <row r="8" spans="3:9">
      <c r="E8">
        <v>-105385</v>
      </c>
      <c r="G8">
        <v>683703</v>
      </c>
    </row>
    <row r="9" spans="3:9">
      <c r="E9">
        <v>-104908</v>
      </c>
      <c r="G9">
        <v>583186</v>
      </c>
      <c r="I9">
        <v>189.3</v>
      </c>
    </row>
    <row r="10" spans="3:9">
      <c r="C10">
        <v>-105000</v>
      </c>
      <c r="E10">
        <v>-105356</v>
      </c>
      <c r="G10">
        <v>583780</v>
      </c>
    </row>
    <row r="11" spans="3:9">
      <c r="E11">
        <v>-104937</v>
      </c>
      <c r="G11">
        <v>583603</v>
      </c>
      <c r="I11">
        <f>I7/I9</f>
        <v>36.185948230322239</v>
      </c>
    </row>
    <row r="12" spans="3:9">
      <c r="E12">
        <v>-105232</v>
      </c>
      <c r="G12">
        <v>583321</v>
      </c>
    </row>
    <row r="13" spans="3:9">
      <c r="E13">
        <v>-105053</v>
      </c>
      <c r="G13">
        <v>583171</v>
      </c>
      <c r="I13">
        <v>100</v>
      </c>
    </row>
    <row r="14" spans="3:9">
      <c r="E14">
        <v>-105362</v>
      </c>
      <c r="G14">
        <v>583267</v>
      </c>
      <c r="I14" s="5">
        <f>I11*I13</f>
        <v>3618.5948230322238</v>
      </c>
    </row>
    <row r="15" spans="3:9">
      <c r="E15">
        <v>-105473</v>
      </c>
      <c r="G15">
        <v>583763</v>
      </c>
    </row>
    <row r="16" spans="3:9">
      <c r="E16">
        <v>-105717</v>
      </c>
      <c r="G16">
        <v>583283</v>
      </c>
    </row>
    <row r="17" spans="2:7">
      <c r="E17">
        <v>-105239</v>
      </c>
      <c r="G17">
        <v>583368</v>
      </c>
    </row>
    <row r="18" spans="2:7">
      <c r="E18">
        <v>-104716</v>
      </c>
      <c r="G18">
        <v>583515</v>
      </c>
    </row>
    <row r="19" spans="2:7">
      <c r="C19">
        <f>AVERAGE(E1:E34)</f>
        <v>-105266.05882352941</v>
      </c>
      <c r="E19">
        <v>-104973</v>
      </c>
      <c r="G19">
        <v>583602</v>
      </c>
    </row>
    <row r="20" spans="2:7">
      <c r="C20">
        <f>AVERAGE(G6:G28)</f>
        <v>587846.17391304346</v>
      </c>
      <c r="E20">
        <v>-105396</v>
      </c>
      <c r="G20">
        <v>583236</v>
      </c>
    </row>
    <row r="21" spans="2:7">
      <c r="E21">
        <v>-105406</v>
      </c>
      <c r="G21">
        <v>583594</v>
      </c>
    </row>
    <row r="22" spans="2:7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>
      <c r="C23">
        <f>C22/B22</f>
        <v>3661.4486673881288</v>
      </c>
      <c r="E23">
        <v>-105398</v>
      </c>
      <c r="G23">
        <v>583541</v>
      </c>
    </row>
    <row r="24" spans="2:7">
      <c r="E24">
        <v>-105412</v>
      </c>
      <c r="G24">
        <v>583589</v>
      </c>
    </row>
    <row r="25" spans="2:7">
      <c r="B25" t="s">
        <v>218</v>
      </c>
      <c r="C25" s="5">
        <f>-C19</f>
        <v>105266.05882352941</v>
      </c>
      <c r="E25">
        <v>-105655</v>
      </c>
      <c r="G25">
        <v>583300</v>
      </c>
    </row>
    <row r="26" spans="2:7">
      <c r="B26" t="s">
        <v>219</v>
      </c>
      <c r="C26" s="5">
        <f>C23</f>
        <v>3661.4486673881288</v>
      </c>
      <c r="E26">
        <v>-105357</v>
      </c>
      <c r="G26">
        <v>583704</v>
      </c>
    </row>
    <row r="27" spans="2:7">
      <c r="E27">
        <v>-105358</v>
      </c>
      <c r="G27">
        <v>583998</v>
      </c>
    </row>
    <row r="28" spans="2:7">
      <c r="E28">
        <v>-105255</v>
      </c>
      <c r="G28">
        <v>583834</v>
      </c>
    </row>
    <row r="29" spans="2:7">
      <c r="E29">
        <v>-105589</v>
      </c>
    </row>
    <row r="30" spans="2:7">
      <c r="C30">
        <v>64950</v>
      </c>
      <c r="E30">
        <v>-105571</v>
      </c>
    </row>
    <row r="31" spans="2:7">
      <c r="C31">
        <v>1302</v>
      </c>
      <c r="E31">
        <v>-105032</v>
      </c>
    </row>
    <row r="32" spans="2:7">
      <c r="C32">
        <f>C30-C31</f>
        <v>63648</v>
      </c>
      <c r="E32">
        <v>-105206</v>
      </c>
    </row>
    <row r="33" spans="5:5">
      <c r="E33">
        <v>-105218</v>
      </c>
    </row>
    <row r="34" spans="5:5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/>
  <sheetData>
    <row r="6" spans="3:5">
      <c r="C6" t="s">
        <v>223</v>
      </c>
      <c r="D6" t="s">
        <v>224</v>
      </c>
      <c r="E6">
        <v>139439</v>
      </c>
    </row>
    <row r="7" spans="3:5">
      <c r="C7" t="s">
        <v>223</v>
      </c>
      <c r="D7" t="s">
        <v>224</v>
      </c>
      <c r="E7">
        <v>139471</v>
      </c>
    </row>
    <row r="8" spans="3:5">
      <c r="C8" t="s">
        <v>223</v>
      </c>
      <c r="D8" t="s">
        <v>224</v>
      </c>
      <c r="E8">
        <v>139341</v>
      </c>
    </row>
    <row r="9" spans="3:5">
      <c r="C9" t="s">
        <v>223</v>
      </c>
      <c r="D9" t="s">
        <v>224</v>
      </c>
      <c r="E9">
        <v>139430</v>
      </c>
    </row>
    <row r="10" spans="3:5">
      <c r="C10" t="s">
        <v>223</v>
      </c>
      <c r="D10" t="s">
        <v>224</v>
      </c>
      <c r="E10">
        <v>139415</v>
      </c>
    </row>
    <row r="11" spans="3:5">
      <c r="C11" t="s">
        <v>223</v>
      </c>
      <c r="D11" t="s">
        <v>224</v>
      </c>
      <c r="E11">
        <v>139436</v>
      </c>
    </row>
    <row r="12" spans="3:5">
      <c r="C12" t="s">
        <v>223</v>
      </c>
      <c r="D12" t="s">
        <v>224</v>
      </c>
      <c r="E12">
        <v>139456</v>
      </c>
    </row>
    <row r="13" spans="3:5">
      <c r="C13" t="s">
        <v>223</v>
      </c>
      <c r="D13" t="s">
        <v>224</v>
      </c>
      <c r="E13">
        <v>139436</v>
      </c>
    </row>
    <row r="14" spans="3:5">
      <c r="C14" t="s">
        <v>223</v>
      </c>
      <c r="D14" t="s">
        <v>224</v>
      </c>
      <c r="E14">
        <v>139461</v>
      </c>
    </row>
    <row r="15" spans="3:5">
      <c r="C15" t="s">
        <v>223</v>
      </c>
      <c r="D15" t="s">
        <v>224</v>
      </c>
      <c r="E15">
        <v>139455</v>
      </c>
    </row>
    <row r="16" spans="3:5">
      <c r="C16" t="s">
        <v>223</v>
      </c>
      <c r="D16" t="s">
        <v>224</v>
      </c>
      <c r="E16">
        <v>139435</v>
      </c>
    </row>
    <row r="17" spans="3:6">
      <c r="C17" t="s">
        <v>223</v>
      </c>
      <c r="D17" t="s">
        <v>224</v>
      </c>
      <c r="E17">
        <v>139454</v>
      </c>
    </row>
    <row r="18" spans="3:6">
      <c r="C18" t="s">
        <v>223</v>
      </c>
      <c r="D18" t="s">
        <v>224</v>
      </c>
      <c r="E18">
        <v>139432</v>
      </c>
    </row>
    <row r="19" spans="3:6">
      <c r="C19" t="s">
        <v>223</v>
      </c>
      <c r="D19" t="s">
        <v>224</v>
      </c>
      <c r="E19">
        <v>139452</v>
      </c>
    </row>
    <row r="20" spans="3:6">
      <c r="C20" t="s">
        <v>223</v>
      </c>
      <c r="D20" t="s">
        <v>224</v>
      </c>
      <c r="E20">
        <v>139444</v>
      </c>
    </row>
    <row r="21" spans="3:6">
      <c r="C21" t="s">
        <v>223</v>
      </c>
      <c r="D21" t="s">
        <v>224</v>
      </c>
      <c r="E21">
        <v>139409</v>
      </c>
    </row>
    <row r="22" spans="3:6">
      <c r="C22" t="s">
        <v>223</v>
      </c>
      <c r="D22" t="s">
        <v>224</v>
      </c>
      <c r="E22">
        <v>139463</v>
      </c>
    </row>
    <row r="23" spans="3:6">
      <c r="C23" t="s">
        <v>223</v>
      </c>
      <c r="D23" t="s">
        <v>224</v>
      </c>
      <c r="E23">
        <v>139417</v>
      </c>
    </row>
    <row r="24" spans="3:6">
      <c r="C24" t="s">
        <v>223</v>
      </c>
      <c r="D24" t="s">
        <v>224</v>
      </c>
      <c r="E24">
        <v>139439</v>
      </c>
    </row>
    <row r="25" spans="3:6">
      <c r="C25" t="s">
        <v>223</v>
      </c>
      <c r="D25" t="s">
        <v>224</v>
      </c>
      <c r="E25">
        <v>139369</v>
      </c>
      <c r="F25" s="5">
        <f>AVERAGE(E6:E25)</f>
        <v>139432.70000000001</v>
      </c>
    </row>
    <row r="26" spans="3:6">
      <c r="F26" s="5"/>
    </row>
    <row r="28" spans="3:6">
      <c r="C28" t="s">
        <v>223</v>
      </c>
      <c r="D28" t="s">
        <v>224</v>
      </c>
      <c r="E28">
        <v>502546</v>
      </c>
    </row>
    <row r="29" spans="3:6">
      <c r="C29" t="s">
        <v>223</v>
      </c>
      <c r="D29" t="s">
        <v>224</v>
      </c>
      <c r="E29">
        <v>502494</v>
      </c>
    </row>
    <row r="30" spans="3:6">
      <c r="C30" t="s">
        <v>223</v>
      </c>
      <c r="D30" t="s">
        <v>224</v>
      </c>
      <c r="E30">
        <v>502548</v>
      </c>
    </row>
    <row r="31" spans="3:6">
      <c r="C31" t="s">
        <v>223</v>
      </c>
      <c r="D31" t="s">
        <v>224</v>
      </c>
      <c r="E31">
        <v>502442</v>
      </c>
    </row>
    <row r="32" spans="3:6">
      <c r="C32" t="s">
        <v>223</v>
      </c>
      <c r="D32" t="s">
        <v>224</v>
      </c>
      <c r="E32">
        <v>502516</v>
      </c>
    </row>
    <row r="33" spans="3:9">
      <c r="C33" t="s">
        <v>223</v>
      </c>
      <c r="D33" t="s">
        <v>224</v>
      </c>
      <c r="E33">
        <v>502508</v>
      </c>
    </row>
    <row r="34" spans="3:9">
      <c r="C34" t="s">
        <v>223</v>
      </c>
      <c r="D34" t="s">
        <v>224</v>
      </c>
      <c r="E34">
        <v>502500</v>
      </c>
    </row>
    <row r="35" spans="3:9">
      <c r="C35" t="s">
        <v>223</v>
      </c>
      <c r="D35" t="s">
        <v>224</v>
      </c>
      <c r="E35">
        <v>502542</v>
      </c>
    </row>
    <row r="36" spans="3:9">
      <c r="C36" t="s">
        <v>223</v>
      </c>
      <c r="D36" t="s">
        <v>224</v>
      </c>
      <c r="E36">
        <v>502523</v>
      </c>
    </row>
    <row r="37" spans="3:9">
      <c r="C37" t="s">
        <v>223</v>
      </c>
      <c r="D37" t="s">
        <v>224</v>
      </c>
      <c r="E37">
        <v>502559</v>
      </c>
    </row>
    <row r="38" spans="3:9">
      <c r="C38" t="s">
        <v>223</v>
      </c>
      <c r="D38" t="s">
        <v>224</v>
      </c>
      <c r="E38">
        <v>502555</v>
      </c>
    </row>
    <row r="39" spans="3:9">
      <c r="C39" t="s">
        <v>223</v>
      </c>
      <c r="D39" t="s">
        <v>224</v>
      </c>
      <c r="E39">
        <v>502494</v>
      </c>
    </row>
    <row r="40" spans="3:9">
      <c r="C40" t="s">
        <v>223</v>
      </c>
      <c r="D40" t="s">
        <v>224</v>
      </c>
      <c r="E40">
        <v>502541</v>
      </c>
    </row>
    <row r="41" spans="3:9">
      <c r="C41" t="s">
        <v>223</v>
      </c>
      <c r="D41" t="s">
        <v>224</v>
      </c>
      <c r="E41">
        <v>502520</v>
      </c>
    </row>
    <row r="42" spans="3:9">
      <c r="C42" t="s">
        <v>223</v>
      </c>
      <c r="D42" t="s">
        <v>224</v>
      </c>
      <c r="E42">
        <v>502450</v>
      </c>
    </row>
    <row r="43" spans="3:9">
      <c r="C43" t="s">
        <v>223</v>
      </c>
      <c r="D43" t="s">
        <v>224</v>
      </c>
      <c r="E43">
        <v>502461</v>
      </c>
    </row>
    <row r="44" spans="3:9">
      <c r="C44" t="s">
        <v>223</v>
      </c>
      <c r="D44" t="s">
        <v>224</v>
      </c>
      <c r="E44">
        <v>502502</v>
      </c>
    </row>
    <row r="45" spans="3:9">
      <c r="C45" t="s">
        <v>223</v>
      </c>
      <c r="D45" t="s">
        <v>224</v>
      </c>
      <c r="E45">
        <v>502492</v>
      </c>
    </row>
    <row r="46" spans="3:9">
      <c r="C46" t="s">
        <v>223</v>
      </c>
      <c r="D46" t="s">
        <v>224</v>
      </c>
      <c r="E46">
        <v>502460</v>
      </c>
    </row>
    <row r="47" spans="3:9">
      <c r="C47" t="s">
        <v>223</v>
      </c>
      <c r="D47" t="s">
        <v>224</v>
      </c>
      <c r="E47">
        <v>502500</v>
      </c>
    </row>
    <row r="48" spans="3:9">
      <c r="C48" t="s">
        <v>223</v>
      </c>
      <c r="D48" t="s">
        <v>224</v>
      </c>
      <c r="E48">
        <v>502515</v>
      </c>
      <c r="H48" s="5">
        <f>F25</f>
        <v>139432.70000000001</v>
      </c>
      <c r="I48" t="s">
        <v>218</v>
      </c>
    </row>
    <row r="49" spans="3:9">
      <c r="C49" t="s">
        <v>223</v>
      </c>
      <c r="D49" t="s">
        <v>224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225</v>
      </c>
    </row>
    <row r="50" spans="3:9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dcterms:created xsi:type="dcterms:W3CDTF">2018-12-18T17:07:46Z</dcterms:created>
  <dcterms:modified xsi:type="dcterms:W3CDTF">2022-12-24T15:22:52Z</dcterms:modified>
</cp:coreProperties>
</file>