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6D8CC7F3-DABC-4F49-A8ED-134BFD3012F6}" xr6:coauthVersionLast="36" xr6:coauthVersionMax="36" xr10:uidLastSave="{00000000-0000-0000-0000-000000000000}"/>
  <bookViews>
    <workbookView xWindow="2760" yWindow="500" windowWidth="25120" windowHeight="16820" tabRatio="500" xr2:uid="{00000000-000D-0000-FFFF-FFFF00000000}"/>
  </bookViews>
  <sheets>
    <sheet name="Volume" sheetId="1" r:id="rId1"/>
    <sheet name="Model-VPSA" sheetId="22" r:id="rId2"/>
    <sheet name="Model" sheetId="21" r:id="rId3"/>
    <sheet name="intercooler" sheetId="10" r:id="rId4"/>
    <sheet name="Heater" sheetId="6" r:id="rId5"/>
    <sheet name="Valves" sheetId="2" r:id="rId6"/>
    <sheet name="Materials" sheetId="9" r:id="rId7"/>
    <sheet name="Things I have built" sheetId="7" r:id="rId8"/>
    <sheet name="vacuum +velocity" sheetId="5" r:id="rId9"/>
    <sheet name="Column HW" sheetId="8" r:id="rId10"/>
    <sheet name="electrical" sheetId="3" r:id="rId11"/>
    <sheet name="bom" sheetId="4" r:id="rId12"/>
    <sheet name="EquipmentList" sheetId="11" r:id="rId13"/>
    <sheet name="RTU config" sheetId="12" r:id="rId14"/>
    <sheet name="O2 RTU" sheetId="13" r:id="rId15"/>
    <sheet name="Compressor" sheetId="14" r:id="rId16"/>
    <sheet name="mol" sheetId="18" r:id="rId1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2" l="1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K9" i="1"/>
  <c r="K10" i="1"/>
  <c r="K11" i="1"/>
  <c r="K13" i="1"/>
  <c r="K14" i="1"/>
  <c r="K15" i="1"/>
  <c r="K17" i="1"/>
  <c r="K18" i="1"/>
  <c r="K19" i="1"/>
  <c r="K21" i="1"/>
  <c r="K22" i="1"/>
  <c r="K24" i="1"/>
  <c r="K25" i="1"/>
  <c r="K28" i="1"/>
  <c r="K29" i="1"/>
  <c r="K30" i="1"/>
  <c r="K33" i="1"/>
  <c r="K8" i="1"/>
  <c r="D36" i="1"/>
  <c r="C36" i="1"/>
  <c r="E36" i="1" s="1"/>
  <c r="G36" i="1" s="1"/>
  <c r="H36" i="1" s="1"/>
  <c r="I36" i="1" s="1"/>
  <c r="D9" i="21"/>
  <c r="D10" i="21" s="1"/>
  <c r="C9" i="21"/>
  <c r="D8" i="18"/>
  <c r="D13" i="18"/>
  <c r="D15" i="18" s="1"/>
  <c r="E85" i="14"/>
  <c r="F85" i="14"/>
  <c r="G85" i="14"/>
  <c r="H85" i="14"/>
  <c r="I85" i="14"/>
  <c r="J85" i="14"/>
  <c r="K85" i="14"/>
  <c r="L85" i="14"/>
  <c r="M85" i="14"/>
  <c r="D85" i="14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H60" i="14"/>
  <c r="H62" i="14" s="1"/>
  <c r="M55" i="14"/>
  <c r="M60" i="14" s="1"/>
  <c r="M62" i="14" s="1"/>
  <c r="L55" i="14"/>
  <c r="L60" i="14" s="1"/>
  <c r="L62" i="14" s="1"/>
  <c r="K55" i="14"/>
  <c r="K60" i="14" s="1"/>
  <c r="K62" i="14" s="1"/>
  <c r="J55" i="14"/>
  <c r="J60" i="14" s="1"/>
  <c r="J62" i="14" s="1"/>
  <c r="I55" i="14"/>
  <c r="I60" i="14" s="1"/>
  <c r="I62" i="14" s="1"/>
  <c r="H55" i="14"/>
  <c r="G55" i="14"/>
  <c r="G60" i="14" s="1"/>
  <c r="G62" i="14" s="1"/>
  <c r="F55" i="14"/>
  <c r="F60" i="14" s="1"/>
  <c r="F62" i="14" s="1"/>
  <c r="E55" i="14"/>
  <c r="E60" i="14" s="1"/>
  <c r="E62" i="14" s="1"/>
  <c r="D55" i="14"/>
  <c r="D60" i="14" s="1"/>
  <c r="D62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D33" i="1"/>
  <c r="C33" i="1"/>
  <c r="D19" i="1"/>
  <c r="C19" i="1"/>
  <c r="E30" i="1"/>
  <c r="G30" i="1" s="1"/>
  <c r="H30" i="1" s="1"/>
  <c r="I30" i="1" s="1"/>
  <c r="D30" i="1"/>
  <c r="C30" i="1"/>
  <c r="D29" i="1"/>
  <c r="C29" i="1"/>
  <c r="E29" i="1" s="1"/>
  <c r="G29" i="1" s="1"/>
  <c r="H29" i="1" s="1"/>
  <c r="I29" i="1" s="1"/>
  <c r="E27" i="22" l="1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E38" i="1"/>
  <c r="K36" i="1"/>
  <c r="E19" i="1"/>
  <c r="G19" i="1" s="1"/>
  <c r="H19" i="1" s="1"/>
  <c r="I19" i="1" s="1"/>
  <c r="F76" i="14"/>
  <c r="F86" i="14" s="1"/>
  <c r="J76" i="14"/>
  <c r="J86" i="14" s="1"/>
  <c r="G76" i="14"/>
  <c r="G86" i="14" s="1"/>
  <c r="K76" i="14"/>
  <c r="K86" i="14" s="1"/>
  <c r="D33" i="14"/>
  <c r="E33" i="1"/>
  <c r="G33" i="1" s="1"/>
  <c r="H33" i="1" s="1"/>
  <c r="I33" i="1" s="1"/>
  <c r="E31" i="13"/>
  <c r="E24" i="22" l="1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E34" i="22" l="1"/>
  <c r="E35" i="22" s="1"/>
  <c r="D34" i="22"/>
  <c r="D35" i="22" s="1"/>
  <c r="C34" i="22"/>
  <c r="C35" i="22" s="1"/>
  <c r="C34" i="21"/>
  <c r="C35" i="21" s="1"/>
  <c r="C17" i="10"/>
  <c r="C14" i="10"/>
  <c r="C13" i="10"/>
  <c r="C15" i="10" l="1"/>
  <c r="C8" i="1"/>
  <c r="D8" i="1"/>
  <c r="C17" i="1"/>
  <c r="D17" i="1"/>
  <c r="E17" i="1" s="1"/>
  <c r="G17" i="1" s="1"/>
  <c r="H17" i="1" s="1"/>
  <c r="I17" i="1" s="1"/>
  <c r="L15" i="1"/>
  <c r="C28" i="1"/>
  <c r="D28" i="1"/>
  <c r="M29" i="1"/>
  <c r="M31" i="1"/>
  <c r="C25" i="1"/>
  <c r="D25" i="1"/>
  <c r="C22" i="1"/>
  <c r="D22" i="1"/>
  <c r="C13" i="1"/>
  <c r="D13" i="1"/>
  <c r="C10" i="1"/>
  <c r="D10" i="1"/>
  <c r="C15" i="1"/>
  <c r="D15" i="1"/>
  <c r="D9" i="1"/>
  <c r="C9" i="1"/>
  <c r="E9" i="1" s="1"/>
  <c r="G9" i="1" s="1"/>
  <c r="H9" i="1" s="1"/>
  <c r="I9" i="1" s="1"/>
  <c r="C18" i="1"/>
  <c r="D18" i="1"/>
  <c r="E18" i="1" s="1"/>
  <c r="G18" i="1" s="1"/>
  <c r="H18" i="1" s="1"/>
  <c r="C14" i="1"/>
  <c r="D14" i="1"/>
  <c r="C11" i="1"/>
  <c r="D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1" i="2"/>
  <c r="K14" i="2" s="1"/>
  <c r="K13" i="2"/>
  <c r="L10" i="2"/>
  <c r="L13" i="2" s="1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4" i="2" s="1"/>
  <c r="G11" i="2"/>
  <c r="G13" i="2"/>
  <c r="H10" i="2"/>
  <c r="H14" i="2" s="1"/>
  <c r="H11" i="2"/>
  <c r="M20" i="1"/>
  <c r="M15" i="1"/>
  <c r="D13" i="6"/>
  <c r="D16" i="6"/>
  <c r="E8" i="3"/>
  <c r="B8" i="3"/>
  <c r="C24" i="1"/>
  <c r="D24" i="1"/>
  <c r="E24" i="1" s="1"/>
  <c r="G24" i="1" s="1"/>
  <c r="H24" i="1" s="1"/>
  <c r="I24" i="1" s="1"/>
  <c r="D21" i="1"/>
  <c r="C21" i="1"/>
  <c r="E22" i="1" l="1"/>
  <c r="G22" i="1" s="1"/>
  <c r="H22" i="1" s="1"/>
  <c r="I22" i="1" s="1"/>
  <c r="I18" i="1"/>
  <c r="M8" i="1"/>
  <c r="N8" i="1" s="1"/>
  <c r="E14" i="1"/>
  <c r="G14" i="1" s="1"/>
  <c r="H14" i="1" s="1"/>
  <c r="I14" i="1" s="1"/>
  <c r="E8" i="1"/>
  <c r="G8" i="1" s="1"/>
  <c r="H8" i="1" s="1"/>
  <c r="I8" i="1" s="1"/>
  <c r="E10" i="1"/>
  <c r="G10" i="1" s="1"/>
  <c r="H10" i="1" s="1"/>
  <c r="I10" i="1" s="1"/>
  <c r="E11" i="1"/>
  <c r="G11" i="1" s="1"/>
  <c r="H11" i="1" s="1"/>
  <c r="I11" i="1" s="1"/>
  <c r="E15" i="1"/>
  <c r="G15" i="1" s="1"/>
  <c r="H15" i="1" s="1"/>
  <c r="I15" i="1" s="1"/>
  <c r="E13" i="1"/>
  <c r="G13" i="1" s="1"/>
  <c r="H13" i="1" s="1"/>
  <c r="I13" i="1" s="1"/>
  <c r="E21" i="1"/>
  <c r="G21" i="1" s="1"/>
  <c r="H21" i="1" s="1"/>
  <c r="I21" i="1" s="1"/>
  <c r="E25" i="1"/>
  <c r="G25" i="1" s="1"/>
  <c r="H25" i="1" s="1"/>
  <c r="I25" i="1" s="1"/>
  <c r="E28" i="1"/>
  <c r="G28" i="1" s="1"/>
  <c r="H28" i="1" s="1"/>
  <c r="I28" i="1" s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</calcChain>
</file>

<file path=xl/sharedStrings.xml><?xml version="1.0" encoding="utf-8"?>
<sst xmlns="http://schemas.openxmlformats.org/spreadsheetml/2006/main" count="1144" uniqueCount="790">
  <si>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</si>
  <si>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</si>
  <si>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</si>
  <si>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</si>
  <si>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</si>
  <si>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</si>
  <si>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</si>
  <si>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</si>
  <si>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</si>
  <si>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</si>
  <si>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</si>
  <si>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</si>
  <si>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</si>
  <si>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</si>
  <si>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</si>
  <si>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</si>
  <si>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</si>
  <si>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</si>
  <si>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</si>
  <si>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</si>
  <si>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</si>
  <si>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</si>
  <si>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</si>
  <si>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</si>
  <si>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</si>
  <si>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</si>
  <si>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</si>
  <si>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</si>
  <si>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</si>
  <si>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</si>
  <si>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</si>
  <si>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</si>
  <si>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</si>
  <si>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</si>
  <si>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</si>
  <si>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</si>
  <si>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</si>
  <si>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</si>
  <si>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</si>
  <si>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</si>
  <si>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</si>
  <si>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</si>
  <si>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</si>
  <si>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</si>
  <si>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</si>
  <si>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</si>
  <si>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</si>
  <si>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</si>
  <si>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</si>
  <si>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</si>
  <si>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</si>
  <si>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</si>
  <si>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</si>
  <si>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</si>
  <si>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</si>
  <si>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</si>
  <si>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</si>
  <si>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</si>
  <si>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</si>
  <si>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</si>
  <si>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</si>
  <si>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</si>
  <si>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</si>
  <si>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</si>
  <si>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</si>
  <si>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</si>
  <si>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</si>
  <si>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</si>
  <si>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</si>
  <si>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</si>
  <si>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</si>
  <si>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</si>
  <si>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</si>
  <si>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</si>
  <si>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</si>
  <si>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</si>
  <si>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</si>
  <si>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</si>
  <si>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</si>
  <si>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</si>
  <si>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</si>
  <si>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</si>
  <si>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</si>
  <si>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</si>
  <si>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</si>
  <si>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</si>
  <si>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</si>
  <si>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</si>
  <si>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</si>
  <si>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</si>
  <si>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</si>
  <si>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</si>
  <si>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</si>
  <si>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</si>
  <si>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</si>
  <si>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</si>
  <si>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</si>
  <si>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</si>
  <si>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</si>
  <si>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</si>
  <si>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</si>
  <si>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</si>
  <si>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</si>
  <si>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</si>
  <si>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</si>
  <si>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</si>
  <si>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</si>
  <si>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</si>
  <si>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</si>
  <si>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</si>
  <si>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</si>
  <si>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</si>
  <si>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</si>
  <si>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</si>
  <si>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</si>
  <si>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</si>
  <si>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</si>
  <si>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</si>
  <si>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</si>
  <si>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</si>
  <si>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</si>
  <si>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</si>
  <si>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</si>
  <si>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</si>
  <si>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</si>
  <si>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</si>
  <si>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</si>
  <si>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</si>
  <si>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</si>
  <si>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</si>
  <si>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</si>
  <si>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</si>
  <si>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</si>
  <si>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</si>
  <si>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</si>
  <si>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</si>
  <si>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</si>
  <si>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</si>
  <si>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</si>
  <si>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</si>
  <si>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</si>
  <si>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</si>
  <si>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</si>
  <si>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</si>
  <si>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</si>
  <si>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</si>
  <si>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</si>
  <si>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</si>
  <si>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</si>
  <si>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</si>
  <si>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</si>
  <si>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</si>
  <si>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</si>
  <si>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</si>
  <si>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</si>
  <si>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</si>
  <si>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</si>
  <si>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</si>
  <si>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</si>
  <si>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</si>
  <si>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</si>
  <si>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</si>
  <si>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</si>
  <si>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</si>
  <si>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</si>
  <si>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</si>
  <si>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</si>
  <si>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</si>
  <si>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</si>
  <si>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</si>
  <si>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</si>
  <si>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</si>
  <si>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</si>
  <si>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</si>
  <si>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</si>
  <si>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</si>
  <si>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</si>
  <si>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</si>
  <si>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</si>
  <si>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</si>
  <si>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</si>
  <si>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</si>
  <si>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</si>
  <si>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</si>
  <si>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</si>
  <si>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</si>
  <si>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</si>
  <si>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</si>
  <si>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</si>
  <si>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</si>
  <si>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</si>
  <si>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</si>
  <si>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</si>
  <si>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</si>
  <si>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</si>
  <si>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</si>
  <si>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</si>
  <si>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</si>
  <si>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</si>
  <si>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</si>
  <si>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</si>
  <si>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</si>
  <si>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</si>
  <si>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</si>
  <si>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</si>
  <si>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</si>
  <si>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</si>
  <si>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</si>
  <si>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</si>
  <si>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</si>
  <si>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</si>
  <si>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</si>
  <si>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</si>
  <si>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</si>
  <si>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</si>
  <si>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</si>
  <si>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</si>
  <si>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</si>
  <si>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</si>
  <si>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</si>
  <si>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</si>
  <si>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</si>
  <si>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</si>
  <si>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</si>
  <si>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</si>
  <si>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</si>
  <si>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</si>
  <si>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</si>
  <si>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</si>
  <si>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</si>
  <si>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</si>
  <si>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</si>
  <si>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</si>
  <si>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</si>
  <si>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</si>
  <si>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</si>
  <si>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</si>
  <si>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</si>
  <si>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</si>
  <si>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</si>
  <si>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</si>
  <si>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</si>
  <si>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</si>
  <si>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</si>
  <si>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</si>
  <si>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</si>
  <si>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</si>
  <si>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</si>
  <si>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</si>
  <si>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</si>
  <si>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</si>
  <si>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</si>
  <si>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</si>
  <si>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</si>
  <si>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</si>
  <si>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</si>
  <si>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</si>
  <si>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</si>
  <si>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</si>
  <si>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</si>
  <si>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</si>
  <si>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</si>
  <si>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</si>
  <si>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</si>
  <si>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</si>
  <si>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</si>
  <si>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</si>
  <si>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</si>
  <si>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</si>
  <si>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</si>
  <si>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</si>
  <si>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</si>
  <si>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</si>
  <si>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</si>
  <si>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</si>
  <si>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</si>
  <si>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</si>
  <si>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</si>
  <si>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</si>
  <si>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</si>
  <si>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</si>
  <si>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</si>
  <si>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</si>
  <si>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</si>
  <si>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</si>
  <si>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</si>
  <si>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</si>
  <si>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</si>
  <si>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</si>
  <si>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</si>
  <si>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</si>
  <si>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</si>
  <si>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</si>
  <si>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</si>
  <si>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</si>
  <si>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</si>
  <si>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</si>
  <si>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</si>
  <si>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</si>
  <si>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</si>
  <si>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</si>
  <si>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</si>
  <si>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</si>
  <si>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</si>
  <si>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</si>
  <si>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</si>
  <si>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</si>
  <si>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</si>
  <si>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</si>
  <si>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</si>
  <si>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</si>
  <si>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</si>
  <si>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</si>
  <si>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</si>
  <si>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</si>
  <si>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</si>
  <si>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</si>
  <si>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</si>
  <si>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</si>
  <si>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</si>
  <si>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</si>
  <si>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</si>
  <si>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</si>
  <si>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</si>
  <si>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</si>
  <si>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</si>
  <si>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</si>
  <si>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</si>
  <si>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</si>
  <si>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</si>
  <si>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</si>
  <si>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</si>
  <si>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</si>
  <si>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</si>
  <si>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</si>
  <si>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</si>
  <si>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</si>
  <si>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</si>
  <si>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</si>
  <si>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</si>
  <si>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</si>
  <si>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</si>
  <si>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</si>
  <si>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</si>
  <si>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</si>
  <si>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</si>
  <si>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</si>
  <si>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</si>
  <si>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</si>
  <si>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</si>
  <si>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</si>
  <si>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</si>
  <si>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</si>
  <si>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</si>
  <si>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</si>
  <si>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</si>
  <si>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</si>
  <si>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</si>
  <si>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</si>
  <si>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</si>
  <si>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</si>
  <si>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</si>
  <si>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</si>
  <si>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</si>
  <si>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</si>
  <si>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</si>
  <si>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</si>
  <si>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</si>
  <si>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</si>
  <si>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</si>
  <si>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</si>
  <si>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</si>
  <si>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</si>
  <si>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</si>
  <si>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Tester PSA Column</t>
  </si>
  <si>
    <t>Tester AlO3 Column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</si>
  <si>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</si>
  <si>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</si>
  <si>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</si>
  <si>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</si>
  <si>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</si>
  <si>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</si>
  <si>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</si>
  <si>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</si>
  <si>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</si>
  <si>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</si>
  <si>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</si>
  <si>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</si>
  <si>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</si>
  <si>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</si>
  <si>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</si>
  <si>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</si>
  <si>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</si>
  <si>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</si>
  <si>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</si>
  <si>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</si>
  <si>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</si>
  <si>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</si>
  <si>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</si>
  <si>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</si>
  <si>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</si>
  <si>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</si>
  <si>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</si>
  <si>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</si>
  <si>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</si>
  <si>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</si>
  <si>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</si>
  <si>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</si>
  <si>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</si>
  <si>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</si>
  <si>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</si>
  <si>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</si>
  <si>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</si>
  <si>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</si>
  <si>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</si>
  <si>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</si>
  <si>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</si>
  <si>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</si>
  <si>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</si>
  <si>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</si>
  <si>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</si>
  <si>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</si>
  <si>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</si>
  <si>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</si>
  <si>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</si>
  <si>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</si>
  <si>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</si>
  <si>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</si>
  <si>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</si>
  <si>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</si>
  <si>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</si>
  <si>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</si>
  <si>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</si>
  <si>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</si>
  <si>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</si>
  <si>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</si>
  <si>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</si>
  <si>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</si>
  <si>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</si>
  <si>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</si>
  <si>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</si>
  <si>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</si>
  <si>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</si>
  <si>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</si>
  <si>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</si>
  <si>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</si>
  <si>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</si>
  <si>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</si>
  <si>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</si>
  <si>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</si>
  <si>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</si>
  <si>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</si>
  <si>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</si>
  <si>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</si>
  <si>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</si>
  <si>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</si>
  <si>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</si>
  <si>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</si>
  <si>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</si>
  <si>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</si>
  <si>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</si>
  <si>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</si>
  <si>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</si>
  <si>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</si>
  <si>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</si>
  <si>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</si>
  <si>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</si>
  <si>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</si>
  <si>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</si>
  <si>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</si>
  <si>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</si>
  <si>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</si>
  <si>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</si>
  <si>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</si>
  <si>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</si>
  <si>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</si>
  <si>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</si>
  <si>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</si>
  <si>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</si>
  <si>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</si>
  <si>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</si>
  <si>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</si>
  <si>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</si>
  <si>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</si>
  <si>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</si>
  <si>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</si>
  <si>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</si>
  <si>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</si>
  <si>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</si>
  <si>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</si>
  <si>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</si>
  <si>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</si>
  <si>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</si>
  <si>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</si>
  <si>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</si>
  <si>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</si>
  <si>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</si>
  <si>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</si>
  <si>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</si>
  <si>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</si>
  <si>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</si>
  <si>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</si>
  <si>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</si>
  <si>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</si>
  <si>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</si>
  <si>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</si>
  <si>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</si>
  <si>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</si>
  <si>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</si>
  <si>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</si>
  <si>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</si>
  <si>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</si>
  <si>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</si>
  <si>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</si>
  <si>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</si>
  <si>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</si>
  <si>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</si>
  <si>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</si>
  <si>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</si>
  <si>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</si>
  <si>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</si>
  <si>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</si>
  <si>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</si>
  <si>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</si>
  <si>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</si>
  <si>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</si>
  <si>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</si>
  <si>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</si>
  <si>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</si>
  <si>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</si>
  <si>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</si>
  <si>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</si>
  <si>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</si>
  <si>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</si>
  <si>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</si>
  <si>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</si>
  <si>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</si>
  <si>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</si>
  <si>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</si>
  <si>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</si>
  <si>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</si>
  <si>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</si>
  <si>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</si>
  <si>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</si>
  <si>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</si>
  <si>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</si>
  <si>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</si>
  <si>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</si>
  <si>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</si>
  <si>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</si>
  <si>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</si>
  <si>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</si>
  <si>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</si>
  <si>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</si>
  <si>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</si>
  <si>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</si>
  <si>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</si>
  <si>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</si>
  <si>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</si>
  <si>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</si>
  <si>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</si>
  <si>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</si>
  <si>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</si>
  <si>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</si>
  <si>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</si>
  <si>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</si>
  <si>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</si>
  <si>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</si>
  <si>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</si>
  <si>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</si>
  <si>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</si>
  <si>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</si>
  <si>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</si>
  <si>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</si>
  <si>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</si>
  <si>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</si>
  <si>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</si>
  <si>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</si>
  <si>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</si>
  <si>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</si>
  <si>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</si>
  <si>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</si>
  <si>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</si>
  <si>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</si>
  <si>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</si>
  <si>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</si>
  <si>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</si>
  <si>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</si>
  <si>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</si>
  <si>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</si>
  <si>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</si>
  <si>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</si>
  <si>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</si>
  <si>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</si>
  <si>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</si>
  <si>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</si>
  <si>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</si>
  <si>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</si>
  <si>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</si>
  <si>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</si>
  <si>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</si>
  <si>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</si>
  <si>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</si>
  <si>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</si>
  <si>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</si>
  <si>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</si>
  <si>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</si>
  <si>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</si>
  <si>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</si>
  <si>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</si>
  <si>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</si>
  <si>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</si>
  <si>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</si>
  <si>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</si>
  <si>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</si>
  <si>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</si>
  <si>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</si>
  <si>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</si>
  <si>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</si>
  <si>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</si>
  <si>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</si>
  <si>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</si>
  <si>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</si>
  <si>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</si>
  <si>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</si>
  <si>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</si>
  <si>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</si>
  <si>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</si>
  <si>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</si>
  <si>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</si>
  <si>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</si>
  <si>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</si>
  <si>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</si>
  <si>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</si>
  <si>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</si>
  <si>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</si>
  <si>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</si>
  <si>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</si>
  <si>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</si>
  <si>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</si>
  <si>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</si>
  <si>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</si>
  <si>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</si>
  <si>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</si>
  <si>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</si>
  <si>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</si>
  <si>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</si>
  <si>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</si>
  <si>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</si>
  <si>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</si>
  <si>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</si>
  <si>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</si>
  <si>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</si>
  <si>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</si>
  <si>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</si>
  <si>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</si>
  <si>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</si>
  <si>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</si>
  <si>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</si>
  <si>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</si>
  <si>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</si>
  <si>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</si>
  <si>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</si>
  <si>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</si>
  <si>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</si>
  <si>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</si>
  <si>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</si>
  <si>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</si>
  <si>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</si>
  <si>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</si>
  <si>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</si>
  <si>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</si>
  <si>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</si>
  <si>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</si>
  <si>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</si>
  <si>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</si>
  <si>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</si>
  <si>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</si>
  <si>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</si>
  <si>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</si>
  <si>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</si>
  <si>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</si>
  <si>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</si>
  <si>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</si>
  <si>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</si>
  <si>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</si>
  <si>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</si>
  <si>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</si>
  <si>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</si>
  <si>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</si>
  <si>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</si>
  <si>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</si>
  <si>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</si>
  <si>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</si>
  <si>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</si>
  <si>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</si>
  <si>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</si>
  <si>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</si>
  <si>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</si>
  <si>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</si>
  <si>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</si>
  <si>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</si>
  <si>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</si>
  <si>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</si>
  <si>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</si>
  <si>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</si>
  <si>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</si>
  <si>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</si>
  <si>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</si>
  <si>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</si>
  <si>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</si>
  <si>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</si>
  <si>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</si>
  <si>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</si>
  <si>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</si>
  <si>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</si>
  <si>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</si>
  <si>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</si>
  <si>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</si>
  <si>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</si>
  <si>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</si>
  <si>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</si>
  <si>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</si>
  <si>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60 psig</t>
  </si>
  <si>
    <t>40 psig</t>
  </si>
  <si>
    <t>90 psig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</si>
  <si>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</si>
  <si>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</si>
  <si>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</si>
  <si>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</si>
  <si>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</si>
  <si>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</si>
  <si>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</si>
  <si>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</si>
  <si>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</si>
  <si>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</si>
  <si>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</si>
  <si>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</si>
  <si>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</si>
  <si>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</si>
  <si>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</si>
  <si>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bed ratio big lunger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</si>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</sst>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5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5" fontId="0" fillId="0" borderId="0" xfId="7" applyNumberFormat="1" applyFont="1"/>
    <xf numFmtId="175" fontId="0" fillId="7" borderId="0" xfId="7" applyNumberFormat="1" applyFon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40 psig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9.5686162258445853E-2</c:v>
                </c:pt>
                <c:pt idx="1">
                  <c:v>0.19137232451689171</c:v>
                </c:pt>
                <c:pt idx="2">
                  <c:v>0.28705848677533757</c:v>
                </c:pt>
                <c:pt idx="3">
                  <c:v>0.38274464903378341</c:v>
                </c:pt>
                <c:pt idx="4">
                  <c:v>0.47843081129222925</c:v>
                </c:pt>
                <c:pt idx="5">
                  <c:v>0.57411697355067515</c:v>
                </c:pt>
                <c:pt idx="6">
                  <c:v>0.66980313580912076</c:v>
                </c:pt>
                <c:pt idx="7">
                  <c:v>0.76548929806756683</c:v>
                </c:pt>
                <c:pt idx="8">
                  <c:v>0.86117546032601267</c:v>
                </c:pt>
                <c:pt idx="9">
                  <c:v>0.9568616225844585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60 psig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0.12426368009800136</c:v>
                </c:pt>
                <c:pt idx="1">
                  <c:v>0.24852736019600272</c:v>
                </c:pt>
                <c:pt idx="2">
                  <c:v>0.37279104029400406</c:v>
                </c:pt>
                <c:pt idx="3">
                  <c:v>0.49705472039200543</c:v>
                </c:pt>
                <c:pt idx="4">
                  <c:v>0.62131840049000664</c:v>
                </c:pt>
                <c:pt idx="5">
                  <c:v>0.74558208058800812</c:v>
                </c:pt>
                <c:pt idx="6">
                  <c:v>0.86984576068600938</c:v>
                </c:pt>
                <c:pt idx="7">
                  <c:v>0.99410944078401087</c:v>
                </c:pt>
                <c:pt idx="8">
                  <c:v>1.118373120882012</c:v>
                </c:pt>
                <c:pt idx="9">
                  <c:v>1.2426368009800133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90 psig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0.15829282621614343</c:v>
                </c:pt>
                <c:pt idx="1">
                  <c:v>0.31658565243228687</c:v>
                </c:pt>
                <c:pt idx="2">
                  <c:v>0.4748784786484303</c:v>
                </c:pt>
                <c:pt idx="3">
                  <c:v>0.63317130486457374</c:v>
                </c:pt>
                <c:pt idx="4">
                  <c:v>0.79146413108071711</c:v>
                </c:pt>
                <c:pt idx="5">
                  <c:v>0.9497569572968606</c:v>
                </c:pt>
                <c:pt idx="6">
                  <c:v>1.1080497835130039</c:v>
                </c:pt>
                <c:pt idx="7">
                  <c:v>1.2663426097291475</c:v>
                </c:pt>
                <c:pt idx="8">
                  <c:v>1.4246354359452909</c:v>
                </c:pt>
                <c:pt idx="9">
                  <c:v>1.5829282621614342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"/>
  <sheetViews>
    <sheetView tabSelected="1" topLeftCell="A5" workbookViewId="0">
      <selection activeCell="B36" sqref="B36"/>
    </sheetView>
  </sheetViews>
  <sheetFormatPr baseColWidth="10" defaultRowHeight="16"/>
  <cols>
    <col min="10" max="10" width="18" customWidth="1"/>
    <col min="11" max="11" width="13.1640625" customWidth="1"/>
    <col min="12" max="12" width="12.5" customWidth="1"/>
  </cols>
  <sheetData>
    <row r="2" spans="1:14">
      <c r="A2" s="3" t="s">
        <v>736</v>
      </c>
      <c r="B2" s="3" t="s">
        <v>732</v>
      </c>
      <c r="C2" s="3">
        <v>3.95</v>
      </c>
      <c r="H2">
        <v>0.63</v>
      </c>
      <c r="I2" t="s">
        <v>699</v>
      </c>
    </row>
    <row r="3" spans="1:14">
      <c r="A3" s="3" t="s">
        <v>735</v>
      </c>
      <c r="B3" s="3" t="s">
        <v>731</v>
      </c>
      <c r="C3" s="3">
        <v>0.7</v>
      </c>
      <c r="H3">
        <v>0.64</v>
      </c>
      <c r="I3" t="s">
        <v>3</v>
      </c>
    </row>
    <row r="4" spans="1:14">
      <c r="A4" s="3" t="s">
        <v>734</v>
      </c>
      <c r="B4" s="3" t="s">
        <v>733</v>
      </c>
      <c r="C4" s="3">
        <v>0.63</v>
      </c>
      <c r="E4" s="3" t="s">
        <v>702</v>
      </c>
      <c r="F4">
        <v>0.63</v>
      </c>
      <c r="G4" t="s">
        <v>4</v>
      </c>
      <c r="H4">
        <v>0.79</v>
      </c>
      <c r="I4" s="4" t="s">
        <v>8</v>
      </c>
    </row>
    <row r="6" spans="1:14">
      <c r="A6" t="s">
        <v>346</v>
      </c>
      <c r="B6" t="s">
        <v>347</v>
      </c>
      <c r="C6" t="s">
        <v>1</v>
      </c>
      <c r="D6" t="s">
        <v>2</v>
      </c>
      <c r="E6" t="s">
        <v>0</v>
      </c>
      <c r="F6" t="s">
        <v>348</v>
      </c>
      <c r="G6" s="3" t="s">
        <v>5</v>
      </c>
      <c r="H6" s="3" t="s">
        <v>6</v>
      </c>
      <c r="I6" s="3" t="s">
        <v>7</v>
      </c>
      <c r="K6" s="3" t="s">
        <v>743</v>
      </c>
    </row>
    <row r="7" spans="1:14">
      <c r="M7">
        <v>2.5</v>
      </c>
      <c r="N7">
        <v>10</v>
      </c>
    </row>
    <row r="8" spans="1:14">
      <c r="A8" s="26">
        <v>1.37</v>
      </c>
      <c r="B8" s="26">
        <v>9</v>
      </c>
      <c r="C8" s="28">
        <f>A8*2.54</f>
        <v>3.4798000000000004</v>
      </c>
      <c r="D8" s="26">
        <f>B8*2.54</f>
        <v>22.86</v>
      </c>
      <c r="E8" s="28">
        <f>PI() * (C8/2)^2 * D8 /1000</f>
        <v>0.21740757655463619</v>
      </c>
      <c r="F8" s="26">
        <v>1</v>
      </c>
      <c r="G8" s="28">
        <f>E8*F$4</f>
        <v>0.1369667732294208</v>
      </c>
      <c r="H8" s="28">
        <f t="shared" ref="H8" si="0">F8*G8</f>
        <v>0.1369667732294208</v>
      </c>
      <c r="I8" s="28">
        <f>H8*2.2</f>
        <v>0.30132690110472576</v>
      </c>
      <c r="J8" t="s">
        <v>375</v>
      </c>
      <c r="K8" s="1">
        <f>E8*(1-M$34)</f>
        <v>6.5222272966390868E-2</v>
      </c>
      <c r="M8" s="1">
        <f>H18/M7</f>
        <v>1.3891805980191367</v>
      </c>
      <c r="N8" s="1">
        <f>N7*M8</f>
        <v>13.891805980191368</v>
      </c>
    </row>
    <row r="9" spans="1:14">
      <c r="A9">
        <v>1.37</v>
      </c>
      <c r="B9">
        <v>19</v>
      </c>
      <c r="C9" s="1">
        <f>A9*2.54</f>
        <v>3.4798000000000004</v>
      </c>
      <c r="D9">
        <f>B9*2.54</f>
        <v>48.26</v>
      </c>
      <c r="E9" s="1">
        <f>PI() * (C9/2)^2 * D9 /1000</f>
        <v>0.458971550504232</v>
      </c>
      <c r="F9">
        <v>1</v>
      </c>
      <c r="G9" s="1">
        <f>E9*F$4</f>
        <v>0.28915207681766614</v>
      </c>
      <c r="H9" s="1">
        <f>F9*G9</f>
        <v>0.28915207681766614</v>
      </c>
      <c r="I9" s="1">
        <f>H9*2.2</f>
        <v>0.63613456899886556</v>
      </c>
      <c r="K9" s="1">
        <f t="shared" ref="K9:K36" si="1">E9*(1-M$34)</f>
        <v>0.13769146515126962</v>
      </c>
    </row>
    <row r="10" spans="1:14">
      <c r="A10" s="26">
        <v>1.37</v>
      </c>
      <c r="B10" s="26">
        <v>25</v>
      </c>
      <c r="C10" s="28">
        <f>A10*2.54</f>
        <v>3.4798000000000004</v>
      </c>
      <c r="D10" s="26">
        <f>B10*2.54</f>
        <v>63.5</v>
      </c>
      <c r="E10" s="28">
        <f>PI() * (C10/2)^2 * D10 /1000</f>
        <v>0.60390993487398936</v>
      </c>
      <c r="F10" s="26">
        <v>1</v>
      </c>
      <c r="G10" s="28">
        <f>E10*F$4</f>
        <v>0.38046325897061328</v>
      </c>
      <c r="H10" s="28">
        <f t="shared" ref="H10" si="2">F10*G10</f>
        <v>0.38046325897061328</v>
      </c>
      <c r="I10" s="28">
        <f>H10*2.2</f>
        <v>0.83701916973534929</v>
      </c>
      <c r="J10" t="s">
        <v>374</v>
      </c>
      <c r="K10" s="1">
        <f t="shared" si="1"/>
        <v>0.18117298046219685</v>
      </c>
    </row>
    <row r="11" spans="1:14">
      <c r="A11">
        <v>1.37</v>
      </c>
      <c r="B11">
        <v>37</v>
      </c>
      <c r="C11" s="1">
        <f>A11*2.54</f>
        <v>3.4798000000000004</v>
      </c>
      <c r="D11">
        <f>B11*2.54</f>
        <v>93.98</v>
      </c>
      <c r="E11" s="2">
        <f>PI() * (C11/2)^2 * D11 /1000</f>
        <v>0.89378670361350443</v>
      </c>
      <c r="F11">
        <v>1</v>
      </c>
      <c r="G11" s="1">
        <f>E11*F$4</f>
        <v>0.5630856232765078</v>
      </c>
      <c r="H11" s="1">
        <f>F11*G11</f>
        <v>0.5630856232765078</v>
      </c>
      <c r="I11" s="1">
        <f>H11*2.2</f>
        <v>1.2387883712083172</v>
      </c>
      <c r="K11" s="1">
        <f t="shared" si="1"/>
        <v>0.26813601108405138</v>
      </c>
    </row>
    <row r="12" spans="1:14">
      <c r="C12" s="1"/>
      <c r="G12" s="1"/>
      <c r="K12" s="1"/>
    </row>
    <row r="13" spans="1:14">
      <c r="A13">
        <v>1.8720000000000001</v>
      </c>
      <c r="B13">
        <v>14</v>
      </c>
      <c r="C13" s="1">
        <f>A13*2.54</f>
        <v>4.75488</v>
      </c>
      <c r="D13">
        <f>B13*2.54</f>
        <v>35.56</v>
      </c>
      <c r="E13" s="2">
        <f>PI() * (C13/2)^2 * D13 /1000</f>
        <v>0.6314380603119677</v>
      </c>
      <c r="F13">
        <v>1</v>
      </c>
      <c r="G13" s="1">
        <f>E13*F$4</f>
        <v>0.39780597799653966</v>
      </c>
      <c r="H13" s="1">
        <f t="shared" ref="H13" si="3">F13*G13</f>
        <v>0.39780597799653966</v>
      </c>
      <c r="I13" s="1">
        <f>H13*2.2</f>
        <v>0.87517315159238729</v>
      </c>
      <c r="K13" s="1">
        <f t="shared" si="1"/>
        <v>0.18943141809359035</v>
      </c>
    </row>
    <row r="14" spans="1:14">
      <c r="A14">
        <v>1.8720000000000001</v>
      </c>
      <c r="B14">
        <v>20</v>
      </c>
      <c r="C14" s="1">
        <f>A14*2.54</f>
        <v>4.75488</v>
      </c>
      <c r="D14">
        <f>B14*2.54</f>
        <v>50.8</v>
      </c>
      <c r="E14" s="2">
        <f>PI() * (C14/2)^2 * D14 /1000</f>
        <v>0.90205437187423942</v>
      </c>
      <c r="F14">
        <v>1</v>
      </c>
      <c r="G14" s="1">
        <f>E14*F$4</f>
        <v>0.56829425428077085</v>
      </c>
      <c r="H14" s="1">
        <f t="shared" ref="H14" si="4">F14*G14</f>
        <v>0.56829425428077085</v>
      </c>
      <c r="I14" s="1">
        <f>H14*2.2</f>
        <v>1.2502473594176959</v>
      </c>
      <c r="K14" s="1">
        <f t="shared" si="1"/>
        <v>0.27061631156227189</v>
      </c>
    </row>
    <row r="15" spans="1:14">
      <c r="A15">
        <v>1.8720000000000001</v>
      </c>
      <c r="B15">
        <v>26</v>
      </c>
      <c r="C15" s="1">
        <f>A15*2.54</f>
        <v>4.75488</v>
      </c>
      <c r="D15">
        <f>B15*2.54</f>
        <v>66.040000000000006</v>
      </c>
      <c r="E15" s="2">
        <f>PI() * (C15/2)^2 * D15 /1000</f>
        <v>1.1726706834365113</v>
      </c>
      <c r="F15">
        <v>1</v>
      </c>
      <c r="G15" s="1">
        <f>E15*F$4</f>
        <v>0.73878253056500209</v>
      </c>
      <c r="H15" s="1">
        <f t="shared" ref="H15" si="5">F15*G15</f>
        <v>0.73878253056500209</v>
      </c>
      <c r="I15" s="1">
        <f>H15*2.2</f>
        <v>1.6253215672430048</v>
      </c>
      <c r="K15" s="1">
        <f t="shared" si="1"/>
        <v>0.35180120503095341</v>
      </c>
      <c r="L15">
        <f>A9*25.4</f>
        <v>34.798000000000002</v>
      </c>
      <c r="M15">
        <f>24*60</f>
        <v>1440</v>
      </c>
      <c r="N15" t="s">
        <v>290</v>
      </c>
    </row>
    <row r="16" spans="1:14">
      <c r="C16" s="1"/>
      <c r="G16" s="1"/>
      <c r="K16" s="1"/>
    </row>
    <row r="17" spans="1:14">
      <c r="A17" s="26">
        <v>2.87</v>
      </c>
      <c r="B17" s="26">
        <v>20</v>
      </c>
      <c r="C17" s="28">
        <f>A17*2.54</f>
        <v>7.2898000000000005</v>
      </c>
      <c r="D17" s="26">
        <f>B17*2.54</f>
        <v>50.8</v>
      </c>
      <c r="E17" s="27">
        <f>PI() * (C17/2)^2 * D17 /1000</f>
        <v>2.1202390079657154</v>
      </c>
      <c r="F17" s="26">
        <v>2</v>
      </c>
      <c r="G17" s="28">
        <f>E17*F$4</f>
        <v>1.3357505750184007</v>
      </c>
      <c r="H17" s="28">
        <f>F17*G17</f>
        <v>2.6715011500368013</v>
      </c>
      <c r="I17" s="28">
        <f>H17*2.2</f>
        <v>5.8773025300809634</v>
      </c>
      <c r="J17" t="s">
        <v>700</v>
      </c>
      <c r="K17" s="1">
        <f t="shared" si="1"/>
        <v>0.63607170238971467</v>
      </c>
      <c r="M17">
        <v>1000</v>
      </c>
      <c r="N17" t="s">
        <v>291</v>
      </c>
    </row>
    <row r="18" spans="1:14">
      <c r="A18" s="26">
        <v>2.87</v>
      </c>
      <c r="B18" s="26">
        <v>26</v>
      </c>
      <c r="C18" s="28">
        <f>A18*2.54</f>
        <v>7.2898000000000005</v>
      </c>
      <c r="D18" s="26">
        <f>B18*2.54</f>
        <v>66.040000000000006</v>
      </c>
      <c r="E18" s="27">
        <f>PI() * (C18/2)^2 * D18 /1000</f>
        <v>2.7563107103554301</v>
      </c>
      <c r="F18" s="26">
        <v>2</v>
      </c>
      <c r="G18" s="28">
        <f>E18*F$4</f>
        <v>1.736475747523921</v>
      </c>
      <c r="H18" s="28">
        <f>F18*G18</f>
        <v>3.472951495047842</v>
      </c>
      <c r="I18" s="28">
        <f>H18*2.2</f>
        <v>7.6404932891052528</v>
      </c>
      <c r="J18" t="s">
        <v>701</v>
      </c>
      <c r="K18" s="1">
        <f t="shared" si="1"/>
        <v>0.82689321310662911</v>
      </c>
    </row>
    <row r="19" spans="1:14">
      <c r="A19" s="26">
        <v>2.87</v>
      </c>
      <c r="B19" s="26">
        <v>38</v>
      </c>
      <c r="C19" s="28">
        <f>A19*2.54</f>
        <v>7.2898000000000005</v>
      </c>
      <c r="D19" s="26">
        <f>B19*2.54</f>
        <v>96.52</v>
      </c>
      <c r="E19" s="27">
        <f>PI() * (C19/2)^2 * D19 /1000</f>
        <v>4.028454115134859</v>
      </c>
      <c r="F19" s="26">
        <v>2</v>
      </c>
      <c r="G19" s="28">
        <f>E19*F$4</f>
        <v>2.5379260925349612</v>
      </c>
      <c r="H19" s="28">
        <f>F19*G19</f>
        <v>5.0758521850699223</v>
      </c>
      <c r="I19" s="28">
        <f>H19*2.2</f>
        <v>11.16687480715383</v>
      </c>
      <c r="K19" s="1">
        <f t="shared" si="1"/>
        <v>1.2085362345404578</v>
      </c>
      <c r="M19">
        <v>20</v>
      </c>
      <c r="N19" t="s">
        <v>292</v>
      </c>
    </row>
    <row r="20" spans="1:14">
      <c r="C20" s="1"/>
      <c r="G20" s="1"/>
      <c r="K20" s="1"/>
      <c r="M20" s="2">
        <f>M19/M15*M17</f>
        <v>13.888888888888888</v>
      </c>
      <c r="N20" t="s">
        <v>17</v>
      </c>
    </row>
    <row r="21" spans="1:14">
      <c r="A21">
        <v>3.37</v>
      </c>
      <c r="B21">
        <v>10</v>
      </c>
      <c r="C21" s="1">
        <f t="shared" ref="C21:D25" si="6">A21*2.54</f>
        <v>8.559800000000001</v>
      </c>
      <c r="D21">
        <f t="shared" si="6"/>
        <v>25.4</v>
      </c>
      <c r="E21" s="2">
        <f>PI() * (C21/2)^2 * D21 /1000</f>
        <v>1.4616750470180424</v>
      </c>
      <c r="F21">
        <v>1</v>
      </c>
      <c r="G21" s="1">
        <f>E21*F$4</f>
        <v>0.92085527962136671</v>
      </c>
      <c r="H21" s="1">
        <f>F21*G21</f>
        <v>0.92085527962136671</v>
      </c>
      <c r="I21" s="1">
        <f>H21*2.2</f>
        <v>2.0258816151670067</v>
      </c>
      <c r="K21" s="1">
        <f t="shared" si="1"/>
        <v>0.4385025141054128</v>
      </c>
    </row>
    <row r="22" spans="1:14">
      <c r="A22" s="26">
        <v>3.37</v>
      </c>
      <c r="B22" s="26">
        <v>11</v>
      </c>
      <c r="C22" s="28">
        <f t="shared" si="6"/>
        <v>8.559800000000001</v>
      </c>
      <c r="D22" s="26">
        <f t="shared" si="6"/>
        <v>27.94</v>
      </c>
      <c r="E22" s="27">
        <f>PI() * (C22/2)^2 * D22 /1000</f>
        <v>1.6078425517198471</v>
      </c>
      <c r="F22" s="26">
        <v>1</v>
      </c>
      <c r="G22" s="28">
        <f>E22*F$4</f>
        <v>1.0129408075835038</v>
      </c>
      <c r="H22" s="28">
        <f>F22*G22</f>
        <v>1.0129408075835038</v>
      </c>
      <c r="I22" s="28">
        <f>H22*2.2</f>
        <v>2.2284697766837085</v>
      </c>
      <c r="J22" t="s">
        <v>372</v>
      </c>
      <c r="K22" s="1">
        <f t="shared" si="1"/>
        <v>0.48235276551595418</v>
      </c>
    </row>
    <row r="23" spans="1:14">
      <c r="C23" s="1"/>
      <c r="G23" s="1"/>
      <c r="K23" s="1"/>
    </row>
    <row r="24" spans="1:14">
      <c r="A24">
        <v>3.37</v>
      </c>
      <c r="B24">
        <v>20</v>
      </c>
      <c r="C24" s="1">
        <f>A24*2.54</f>
        <v>8.559800000000001</v>
      </c>
      <c r="D24">
        <f>B24*2.54</f>
        <v>50.8</v>
      </c>
      <c r="E24" s="2">
        <f>PI() * (C24/2)^2 * D24 /1000</f>
        <v>2.9233500940360848</v>
      </c>
      <c r="F24">
        <v>1</v>
      </c>
      <c r="G24" s="1">
        <f>E24*F$4</f>
        <v>1.8417105592427334</v>
      </c>
      <c r="H24" s="1">
        <f>F24*G24</f>
        <v>1.8417105592427334</v>
      </c>
      <c r="I24" s="1">
        <f>H24*2.2</f>
        <v>4.0517632303340134</v>
      </c>
      <c r="K24" s="1">
        <f t="shared" si="1"/>
        <v>0.8770050282108256</v>
      </c>
    </row>
    <row r="25" spans="1:14">
      <c r="A25" s="26">
        <v>3.37</v>
      </c>
      <c r="B25" s="26">
        <v>21</v>
      </c>
      <c r="C25" s="28">
        <f>A25*2.54</f>
        <v>8.559800000000001</v>
      </c>
      <c r="D25" s="26">
        <f>B25*2.54</f>
        <v>53.34</v>
      </c>
      <c r="E25" s="27">
        <f>PI() * (C25/2)^2 * D25 /1000</f>
        <v>3.0695175987378898</v>
      </c>
      <c r="F25" s="26">
        <v>1</v>
      </c>
      <c r="G25" s="28">
        <f>E25*F$4</f>
        <v>1.9337960872048705</v>
      </c>
      <c r="H25" s="28">
        <f>F25*G25</f>
        <v>1.9337960872048705</v>
      </c>
      <c r="I25" s="28">
        <f>H25*2.2</f>
        <v>4.2543513918507152</v>
      </c>
      <c r="J25" t="s">
        <v>373</v>
      </c>
      <c r="K25" s="1">
        <f t="shared" si="1"/>
        <v>0.92085527962136704</v>
      </c>
    </row>
    <row r="26" spans="1:14">
      <c r="C26" s="1"/>
      <c r="G26" s="1"/>
      <c r="K26" s="1"/>
      <c r="L26" s="23" t="s">
        <v>357</v>
      </c>
      <c r="M26" s="3">
        <v>3.1</v>
      </c>
      <c r="N26" t="s">
        <v>355</v>
      </c>
    </row>
    <row r="27" spans="1:14">
      <c r="C27" s="1"/>
      <c r="G27" s="1"/>
      <c r="K27" s="1"/>
      <c r="L27" s="23" t="s">
        <v>358</v>
      </c>
      <c r="M27" s="3">
        <v>250</v>
      </c>
      <c r="N27" t="s">
        <v>356</v>
      </c>
    </row>
    <row r="28" spans="1:14">
      <c r="A28">
        <v>3.87</v>
      </c>
      <c r="B28">
        <v>18</v>
      </c>
      <c r="C28" s="1">
        <f>A28*2.54</f>
        <v>9.8298000000000005</v>
      </c>
      <c r="D28">
        <f>B28*2.54</f>
        <v>45.72</v>
      </c>
      <c r="E28" s="2">
        <f>PI() * (C28/2)^2 * D28 /1000</f>
        <v>3.4696483918174978</v>
      </c>
      <c r="F28">
        <v>1</v>
      </c>
      <c r="G28" s="1">
        <f>E28*F$4</f>
        <v>2.1858784868450236</v>
      </c>
      <c r="H28" s="1">
        <f>F28*G28</f>
        <v>2.1858784868450236</v>
      </c>
      <c r="I28" s="1">
        <f>H28*2.2</f>
        <v>4.8089326710590523</v>
      </c>
      <c r="K28" s="1">
        <f t="shared" si="1"/>
        <v>1.0408945175452495</v>
      </c>
      <c r="L28" s="23" t="s">
        <v>359</v>
      </c>
      <c r="M28" s="3">
        <v>50</v>
      </c>
      <c r="N28" t="s">
        <v>356</v>
      </c>
    </row>
    <row r="29" spans="1:14">
      <c r="A29">
        <v>3.87</v>
      </c>
      <c r="B29">
        <v>37</v>
      </c>
      <c r="C29" s="1">
        <f t="shared" ref="C29" si="7">A29*2.54</f>
        <v>9.8298000000000005</v>
      </c>
      <c r="D29">
        <f t="shared" ref="D29" si="8">B29*2.54</f>
        <v>93.98</v>
      </c>
      <c r="E29" s="2">
        <f>PI() * (C29/2)^2 * D29 /1000</f>
        <v>7.1320550276248564</v>
      </c>
      <c r="F29">
        <v>1</v>
      </c>
      <c r="G29" s="1">
        <f>E29*F$4</f>
        <v>4.4931946674036594</v>
      </c>
      <c r="H29" s="1">
        <f>F29*G29</f>
        <v>4.4931946674036594</v>
      </c>
      <c r="I29" s="1">
        <f>H29*2.2</f>
        <v>9.8850282682880515</v>
      </c>
      <c r="K29" s="1">
        <f t="shared" si="1"/>
        <v>2.1396165082874572</v>
      </c>
      <c r="L29" s="23" t="s">
        <v>703</v>
      </c>
      <c r="M29" s="21">
        <f>M26*(M27+100)/(M28+100)</f>
        <v>7.2333333333333334</v>
      </c>
      <c r="N29" t="s">
        <v>355</v>
      </c>
    </row>
    <row r="30" spans="1:14">
      <c r="A30">
        <v>3.87</v>
      </c>
      <c r="B30">
        <v>49</v>
      </c>
      <c r="C30" s="1">
        <f t="shared" ref="C30" si="9">A30*2.54</f>
        <v>9.8298000000000005</v>
      </c>
      <c r="D30">
        <f t="shared" ref="D30" si="10">B30*2.54</f>
        <v>124.46000000000001</v>
      </c>
      <c r="E30" s="2">
        <f>PI() * (C30/2)^2 * D30 /1000</f>
        <v>9.4451539555031889</v>
      </c>
      <c r="F30">
        <v>1</v>
      </c>
      <c r="G30" s="1">
        <f>E30*F$4</f>
        <v>5.9504469919670093</v>
      </c>
      <c r="H30" s="1">
        <f>F30*G30</f>
        <v>5.9504469919670093</v>
      </c>
      <c r="I30" s="1">
        <f>H30*2.2</f>
        <v>13.090983382327421</v>
      </c>
      <c r="K30" s="1">
        <f t="shared" si="1"/>
        <v>2.833546186650957</v>
      </c>
      <c r="L30" s="23" t="s">
        <v>360</v>
      </c>
      <c r="M30" s="3">
        <v>15</v>
      </c>
      <c r="N30" t="s">
        <v>17</v>
      </c>
    </row>
    <row r="31" spans="1:14">
      <c r="C31" s="1"/>
      <c r="K31" s="1"/>
      <c r="L31" s="23" t="s">
        <v>361</v>
      </c>
      <c r="M31" s="21">
        <f>M29/M30*60</f>
        <v>28.933333333333334</v>
      </c>
      <c r="N31" t="s">
        <v>362</v>
      </c>
    </row>
    <row r="32" spans="1:14">
      <c r="C32" s="1"/>
      <c r="K32" s="1"/>
      <c r="L32" s="23"/>
      <c r="M32" s="3"/>
    </row>
    <row r="33" spans="1:13">
      <c r="A33" s="26">
        <v>3.0680000000000001</v>
      </c>
      <c r="B33" s="26">
        <v>17</v>
      </c>
      <c r="C33" s="28">
        <f>A33*2.54</f>
        <v>7.7927200000000001</v>
      </c>
      <c r="D33" s="26">
        <f>B33*2.54</f>
        <v>43.18</v>
      </c>
      <c r="E33" s="27">
        <f>PI() * (C33/2)^2 * D33 /1000</f>
        <v>2.0594472054167392</v>
      </c>
      <c r="F33" s="26">
        <v>2</v>
      </c>
      <c r="G33" s="28">
        <f>E33*F$4</f>
        <v>1.2974517394125458</v>
      </c>
      <c r="H33" s="28">
        <f>F33*G33</f>
        <v>2.5949034788250915</v>
      </c>
      <c r="I33" s="28">
        <f>H33*2.2</f>
        <v>5.708787653415202</v>
      </c>
      <c r="K33" s="1">
        <f t="shared" si="1"/>
        <v>0.6178341616250218</v>
      </c>
      <c r="L33" s="23"/>
      <c r="M33" s="3"/>
    </row>
    <row r="34" spans="1:13">
      <c r="K34" s="1"/>
      <c r="L34" s="23" t="s">
        <v>742</v>
      </c>
      <c r="M34" s="3">
        <v>0.7</v>
      </c>
    </row>
    <row r="35" spans="1:13">
      <c r="K35" s="1"/>
    </row>
    <row r="36" spans="1:13">
      <c r="A36">
        <v>5.87</v>
      </c>
      <c r="B36">
        <v>36.5</v>
      </c>
      <c r="C36" s="1">
        <f t="shared" ref="C36" si="11">A36*2.54</f>
        <v>14.909800000000001</v>
      </c>
      <c r="D36">
        <f t="shared" ref="D36" si="12">B36*2.54</f>
        <v>92.710000000000008</v>
      </c>
      <c r="E36" s="2">
        <f>PI() * (C36/2)^2 * D36 /1000</f>
        <v>16.186766361042661</v>
      </c>
      <c r="F36">
        <v>1</v>
      </c>
      <c r="G36" s="1">
        <f>E36*F$4</f>
        <v>10.197662807456876</v>
      </c>
      <c r="H36" s="1">
        <f>F36*G36</f>
        <v>10.197662807456876</v>
      </c>
      <c r="I36" s="1">
        <f>H36*2.2</f>
        <v>22.434858176405129</v>
      </c>
      <c r="K36" s="1">
        <f t="shared" si="1"/>
        <v>4.8560299083127987</v>
      </c>
    </row>
    <row r="38" spans="1:13">
      <c r="E38" s="2">
        <f>E36/E18</f>
        <v>5.8726203472740401</v>
      </c>
      <c r="F38" t="s">
        <v>741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697</v>
      </c>
      <c r="E1" t="s">
        <v>371</v>
      </c>
      <c r="F1" t="s">
        <v>696</v>
      </c>
      <c r="G1" t="s">
        <v>698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  <c r="D4" t="s">
        <v>774</v>
      </c>
      <c r="F4" t="s">
        <v>775</v>
      </c>
    </row>
    <row r="5" spans="1:7">
      <c r="B5">
        <v>4</v>
      </c>
      <c r="C5" t="s">
        <v>369</v>
      </c>
      <c r="F5" t="s">
        <v>776</v>
      </c>
    </row>
    <row r="6" spans="1:7">
      <c r="B6">
        <v>4</v>
      </c>
      <c r="C6" t="s">
        <v>367</v>
      </c>
      <c r="F6" t="s">
        <v>777</v>
      </c>
    </row>
    <row r="7" spans="1:7">
      <c r="B7">
        <v>2</v>
      </c>
      <c r="C7" t="s">
        <v>368</v>
      </c>
      <c r="F7" t="s">
        <v>778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401</v>
      </c>
      <c r="C1" s="39" t="s">
        <v>540</v>
      </c>
    </row>
    <row r="2" spans="2:6">
      <c r="B2" s="68" t="s">
        <v>543</v>
      </c>
      <c r="C2" s="36" t="s">
        <v>398</v>
      </c>
    </row>
    <row r="3" spans="2:6">
      <c r="C3" s="37" t="s">
        <v>576</v>
      </c>
    </row>
    <row r="4" spans="2:6">
      <c r="C4" s="40" t="s">
        <v>577</v>
      </c>
    </row>
    <row r="5" spans="2:6">
      <c r="C5" s="66"/>
    </row>
    <row r="6" spans="2:6">
      <c r="B6" s="34" t="s">
        <v>402</v>
      </c>
      <c r="C6" t="s">
        <v>544</v>
      </c>
      <c r="D6" t="s">
        <v>545</v>
      </c>
      <c r="E6" t="s">
        <v>365</v>
      </c>
      <c r="F6" t="s">
        <v>514</v>
      </c>
    </row>
    <row r="7" spans="2:6">
      <c r="B7" s="34"/>
    </row>
    <row r="8" spans="2:6">
      <c r="B8" t="s">
        <v>403</v>
      </c>
      <c r="C8" t="s">
        <v>502</v>
      </c>
      <c r="D8" t="s">
        <v>557</v>
      </c>
      <c r="E8" t="s">
        <v>403</v>
      </c>
    </row>
    <row r="9" spans="2:6">
      <c r="B9" t="s">
        <v>403</v>
      </c>
      <c r="C9" s="37" t="s">
        <v>570</v>
      </c>
      <c r="D9" s="37" t="s">
        <v>572</v>
      </c>
      <c r="E9" t="s">
        <v>573</v>
      </c>
    </row>
    <row r="10" spans="2:6">
      <c r="B10" t="s">
        <v>404</v>
      </c>
      <c r="C10" t="s">
        <v>444</v>
      </c>
    </row>
    <row r="11" spans="2:6">
      <c r="B11" t="s">
        <v>405</v>
      </c>
      <c r="C11" t="s">
        <v>426</v>
      </c>
    </row>
    <row r="13" spans="2:6">
      <c r="B13" t="s">
        <v>66</v>
      </c>
      <c r="C13" t="s">
        <v>427</v>
      </c>
    </row>
    <row r="14" spans="2:6">
      <c r="B14" t="s">
        <v>574</v>
      </c>
      <c r="C14" s="37" t="s">
        <v>571</v>
      </c>
      <c r="D14" s="37" t="s">
        <v>575</v>
      </c>
    </row>
    <row r="15" spans="2:6">
      <c r="B15" s="67" t="s">
        <v>414</v>
      </c>
      <c r="C15" s="37" t="s">
        <v>428</v>
      </c>
      <c r="D15" s="37" t="s">
        <v>485</v>
      </c>
    </row>
    <row r="16" spans="2:6">
      <c r="B16" t="s">
        <v>406</v>
      </c>
      <c r="C16" t="s">
        <v>429</v>
      </c>
    </row>
    <row r="18" spans="2:5">
      <c r="B18" t="s">
        <v>408</v>
      </c>
      <c r="C18" t="s">
        <v>439</v>
      </c>
      <c r="E18" t="s">
        <v>548</v>
      </c>
    </row>
    <row r="19" spans="2:5">
      <c r="B19" t="s">
        <v>409</v>
      </c>
      <c r="C19" s="37" t="s">
        <v>441</v>
      </c>
      <c r="D19" s="37" t="s">
        <v>558</v>
      </c>
    </row>
    <row r="20" spans="2:5">
      <c r="B20" t="s">
        <v>410</v>
      </c>
      <c r="C20" t="s">
        <v>431</v>
      </c>
    </row>
    <row r="21" spans="2:5">
      <c r="B21" t="s">
        <v>484</v>
      </c>
      <c r="C21" t="s">
        <v>434</v>
      </c>
    </row>
    <row r="22" spans="2:5">
      <c r="B22" t="s">
        <v>412</v>
      </c>
      <c r="C22" s="36" t="s">
        <v>435</v>
      </c>
      <c r="D22" s="36" t="s">
        <v>560</v>
      </c>
      <c r="E22" t="s">
        <v>512</v>
      </c>
    </row>
    <row r="23" spans="2:5">
      <c r="B23" s="67" t="s">
        <v>411</v>
      </c>
      <c r="C23" s="37" t="s">
        <v>432</v>
      </c>
      <c r="D23" s="37" t="s">
        <v>483</v>
      </c>
    </row>
    <row r="25" spans="2:5">
      <c r="B25" t="s">
        <v>413</v>
      </c>
      <c r="C25" t="s">
        <v>440</v>
      </c>
      <c r="E25" t="s">
        <v>549</v>
      </c>
    </row>
    <row r="26" spans="2:5">
      <c r="B26" t="s">
        <v>409</v>
      </c>
      <c r="C26" s="37" t="s">
        <v>442</v>
      </c>
      <c r="D26" s="37" t="s">
        <v>559</v>
      </c>
    </row>
    <row r="27" spans="2:5">
      <c r="B27" t="s">
        <v>410</v>
      </c>
      <c r="C27" t="s">
        <v>436</v>
      </c>
    </row>
    <row r="28" spans="2:5">
      <c r="B28" t="s">
        <v>484</v>
      </c>
      <c r="C28" t="s">
        <v>437</v>
      </c>
    </row>
    <row r="29" spans="2:5">
      <c r="B29" t="s">
        <v>412</v>
      </c>
      <c r="C29" s="36" t="s">
        <v>438</v>
      </c>
      <c r="D29" s="36" t="s">
        <v>561</v>
      </c>
      <c r="E29" t="s">
        <v>512</v>
      </c>
    </row>
    <row r="30" spans="2:5">
      <c r="B30" s="67" t="s">
        <v>411</v>
      </c>
      <c r="C30" s="37" t="s">
        <v>433</v>
      </c>
      <c r="D30" s="37" t="s">
        <v>482</v>
      </c>
    </row>
    <row r="32" spans="2:5">
      <c r="B32" s="67" t="s">
        <v>473</v>
      </c>
      <c r="C32" t="s">
        <v>425</v>
      </c>
      <c r="D32" t="s">
        <v>476</v>
      </c>
    </row>
    <row r="33" spans="2:5">
      <c r="B33" s="67" t="s">
        <v>474</v>
      </c>
      <c r="C33" t="s">
        <v>443</v>
      </c>
      <c r="D33" t="s">
        <v>477</v>
      </c>
    </row>
    <row r="35" spans="2:5">
      <c r="B35" t="s">
        <v>537</v>
      </c>
      <c r="C35" s="39" t="s">
        <v>538</v>
      </c>
      <c r="D35" s="39" t="s">
        <v>550</v>
      </c>
      <c r="E35" t="s">
        <v>539</v>
      </c>
    </row>
    <row r="36" spans="2:5">
      <c r="B36" t="s">
        <v>536</v>
      </c>
      <c r="C36" s="37" t="s">
        <v>430</v>
      </c>
      <c r="D36" s="37" t="s">
        <v>555</v>
      </c>
    </row>
    <row r="38" spans="2:5">
      <c r="B38" t="s">
        <v>532</v>
      </c>
      <c r="C38" t="s">
        <v>503</v>
      </c>
    </row>
    <row r="39" spans="2:5">
      <c r="B39" t="s">
        <v>533</v>
      </c>
      <c r="C39" t="s">
        <v>504</v>
      </c>
      <c r="E39" t="s">
        <v>535</v>
      </c>
    </row>
    <row r="40" spans="2:5">
      <c r="B40" t="s">
        <v>167</v>
      </c>
      <c r="C40" s="37" t="s">
        <v>505</v>
      </c>
      <c r="D40" s="37" t="s">
        <v>556</v>
      </c>
      <c r="E40" t="s">
        <v>513</v>
      </c>
    </row>
    <row r="41" spans="2:5">
      <c r="B41" s="67" t="s">
        <v>534</v>
      </c>
      <c r="C41" t="s">
        <v>506</v>
      </c>
      <c r="D41" t="s">
        <v>507</v>
      </c>
    </row>
    <row r="43" spans="2:5">
      <c r="B43" t="s">
        <v>407</v>
      </c>
      <c r="C43" t="s">
        <v>471</v>
      </c>
    </row>
    <row r="44" spans="2:5">
      <c r="B44" s="67" t="s">
        <v>472</v>
      </c>
      <c r="C44" t="s">
        <v>475</v>
      </c>
      <c r="D44" t="s">
        <v>478</v>
      </c>
    </row>
    <row r="45" spans="2:5">
      <c r="B45" s="67" t="s">
        <v>500</v>
      </c>
      <c r="C45" s="66" t="s">
        <v>424</v>
      </c>
      <c r="D45" t="s">
        <v>501</v>
      </c>
    </row>
    <row r="47" spans="2:5">
      <c r="B47" s="34" t="s">
        <v>415</v>
      </c>
    </row>
    <row r="49" spans="2:5">
      <c r="B49" s="67" t="s">
        <v>416</v>
      </c>
      <c r="C49" s="40" t="s">
        <v>445</v>
      </c>
      <c r="D49" s="40" t="s">
        <v>479</v>
      </c>
    </row>
    <row r="50" spans="2:5">
      <c r="B50" s="67" t="s">
        <v>417</v>
      </c>
      <c r="C50" s="40" t="s">
        <v>446</v>
      </c>
      <c r="D50" s="40" t="s">
        <v>480</v>
      </c>
    </row>
    <row r="51" spans="2:5">
      <c r="B51" s="67" t="s">
        <v>465</v>
      </c>
      <c r="C51" s="40" t="s">
        <v>464</v>
      </c>
      <c r="D51" s="40" t="s">
        <v>481</v>
      </c>
    </row>
    <row r="53" spans="2:5">
      <c r="B53" t="s">
        <v>408</v>
      </c>
      <c r="C53" t="s">
        <v>447</v>
      </c>
      <c r="E53" t="s">
        <v>546</v>
      </c>
    </row>
    <row r="54" spans="2:5">
      <c r="B54" t="s">
        <v>418</v>
      </c>
      <c r="C54" s="38" t="s">
        <v>449</v>
      </c>
      <c r="D54" s="36" t="s">
        <v>562</v>
      </c>
      <c r="E54" t="s">
        <v>512</v>
      </c>
    </row>
    <row r="55" spans="2:5">
      <c r="B55" t="s">
        <v>419</v>
      </c>
      <c r="C55" s="38" t="s">
        <v>450</v>
      </c>
      <c r="D55" s="36" t="s">
        <v>563</v>
      </c>
      <c r="E55" t="s">
        <v>512</v>
      </c>
    </row>
    <row r="56" spans="2:5">
      <c r="B56" t="s">
        <v>420</v>
      </c>
      <c r="C56" s="35" t="s">
        <v>451</v>
      </c>
    </row>
    <row r="57" spans="2:5">
      <c r="B57" t="s">
        <v>421</v>
      </c>
      <c r="C57" s="35" t="s">
        <v>452</v>
      </c>
    </row>
    <row r="59" spans="2:5">
      <c r="B59" t="s">
        <v>413</v>
      </c>
      <c r="C59" t="s">
        <v>448</v>
      </c>
      <c r="E59" t="s">
        <v>547</v>
      </c>
    </row>
    <row r="60" spans="2:5">
      <c r="B60" t="s">
        <v>418</v>
      </c>
      <c r="C60" s="36" t="s">
        <v>453</v>
      </c>
      <c r="D60" s="36" t="s">
        <v>564</v>
      </c>
      <c r="E60" t="s">
        <v>512</v>
      </c>
    </row>
    <row r="61" spans="2:5">
      <c r="B61" t="s">
        <v>419</v>
      </c>
      <c r="C61" s="36" t="s">
        <v>454</v>
      </c>
      <c r="D61" s="36" t="s">
        <v>565</v>
      </c>
      <c r="E61" t="s">
        <v>512</v>
      </c>
    </row>
    <row r="62" spans="2:5">
      <c r="B62" t="s">
        <v>420</v>
      </c>
      <c r="C62" t="s">
        <v>455</v>
      </c>
    </row>
    <row r="63" spans="2:5">
      <c r="B63" t="s">
        <v>421</v>
      </c>
      <c r="C63" t="s">
        <v>456</v>
      </c>
    </row>
    <row r="65" spans="2:5">
      <c r="B65" t="s">
        <v>422</v>
      </c>
      <c r="C65" s="36" t="s">
        <v>457</v>
      </c>
      <c r="D65" s="36" t="s">
        <v>566</v>
      </c>
      <c r="E65" t="s">
        <v>512</v>
      </c>
    </row>
    <row r="66" spans="2:5">
      <c r="B66" s="67" t="s">
        <v>551</v>
      </c>
      <c r="C66" t="s">
        <v>470</v>
      </c>
      <c r="D66" t="s">
        <v>493</v>
      </c>
    </row>
    <row r="67" spans="2:5">
      <c r="B67" t="s">
        <v>423</v>
      </c>
      <c r="C67" s="36" t="s">
        <v>458</v>
      </c>
      <c r="D67" s="36" t="s">
        <v>567</v>
      </c>
      <c r="E67" t="s">
        <v>512</v>
      </c>
    </row>
    <row r="69" spans="2:5">
      <c r="B69" t="s">
        <v>459</v>
      </c>
      <c r="C69" t="s">
        <v>460</v>
      </c>
    </row>
    <row r="70" spans="2:5">
      <c r="B70" s="67" t="s">
        <v>463</v>
      </c>
      <c r="C70" t="s">
        <v>466</v>
      </c>
      <c r="D70" t="s">
        <v>541</v>
      </c>
    </row>
    <row r="71" spans="2:5">
      <c r="B71" s="67" t="s">
        <v>463</v>
      </c>
      <c r="C71" s="40" t="s">
        <v>466</v>
      </c>
      <c r="D71" s="40" t="s">
        <v>486</v>
      </c>
    </row>
    <row r="72" spans="2:5">
      <c r="B72" t="s">
        <v>461</v>
      </c>
      <c r="C72" t="s">
        <v>462</v>
      </c>
    </row>
    <row r="73" spans="2:5">
      <c r="B73" s="67" t="s">
        <v>467</v>
      </c>
      <c r="C73" s="66" t="s">
        <v>468</v>
      </c>
      <c r="D73" t="s">
        <v>542</v>
      </c>
    </row>
    <row r="74" spans="2:5">
      <c r="B74" s="67" t="s">
        <v>467</v>
      </c>
      <c r="C74" s="40" t="s">
        <v>468</v>
      </c>
      <c r="D74" s="40" t="s">
        <v>487</v>
      </c>
    </row>
    <row r="75" spans="2:5">
      <c r="B75" s="67" t="s">
        <v>469</v>
      </c>
      <c r="C75" s="40" t="s">
        <v>489</v>
      </c>
      <c r="D75" s="40" t="s">
        <v>490</v>
      </c>
    </row>
    <row r="76" spans="2:5">
      <c r="B76" s="67" t="s">
        <v>469</v>
      </c>
      <c r="C76" s="66" t="s">
        <v>489</v>
      </c>
      <c r="D76" t="s">
        <v>554</v>
      </c>
    </row>
    <row r="77" spans="2:5">
      <c r="B77" s="67" t="s">
        <v>595</v>
      </c>
      <c r="C77" s="40" t="s">
        <v>594</v>
      </c>
      <c r="D77" s="40" t="s">
        <v>596</v>
      </c>
      <c r="E77" t="s">
        <v>597</v>
      </c>
    </row>
    <row r="79" spans="2:5">
      <c r="B79" s="67" t="s">
        <v>488</v>
      </c>
      <c r="C79" t="s">
        <v>491</v>
      </c>
      <c r="D79" t="s">
        <v>492</v>
      </c>
    </row>
    <row r="80" spans="2:5">
      <c r="B80" s="67" t="s">
        <v>552</v>
      </c>
      <c r="C80" t="s">
        <v>495</v>
      </c>
      <c r="D80" t="s">
        <v>494</v>
      </c>
    </row>
    <row r="81" spans="2:5">
      <c r="B81" s="67" t="s">
        <v>553</v>
      </c>
      <c r="C81" t="s">
        <v>496</v>
      </c>
      <c r="D81" t="s">
        <v>497</v>
      </c>
    </row>
    <row r="82" spans="2:5">
      <c r="B82" s="67" t="s">
        <v>24</v>
      </c>
      <c r="C82" t="s">
        <v>498</v>
      </c>
      <c r="D82" t="s">
        <v>499</v>
      </c>
    </row>
    <row r="83" spans="2:5">
      <c r="B83" s="67" t="s">
        <v>599</v>
      </c>
      <c r="C83" t="s">
        <v>600</v>
      </c>
      <c r="D83" t="s">
        <v>601</v>
      </c>
    </row>
    <row r="85" spans="2:5">
      <c r="B85" t="s">
        <v>508</v>
      </c>
      <c r="C85" t="s">
        <v>462</v>
      </c>
      <c r="D85" t="s">
        <v>510</v>
      </c>
    </row>
    <row r="86" spans="2:5">
      <c r="B86" s="67" t="s">
        <v>602</v>
      </c>
      <c r="C86" t="s">
        <v>603</v>
      </c>
      <c r="D86" t="s">
        <v>604</v>
      </c>
    </row>
    <row r="87" spans="2:5">
      <c r="B87" t="s">
        <v>509</v>
      </c>
      <c r="C87" s="36" t="s">
        <v>511</v>
      </c>
      <c r="D87" s="36" t="s">
        <v>568</v>
      </c>
      <c r="E87" t="s">
        <v>512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398</v>
      </c>
      <c r="AA2" s="34" t="s">
        <v>398</v>
      </c>
      <c r="AB2" s="34" t="s">
        <v>625</v>
      </c>
      <c r="AC2" s="34" t="s">
        <v>626</v>
      </c>
      <c r="AD2" s="8" t="s">
        <v>627</v>
      </c>
      <c r="AE2" s="8" t="s">
        <v>624</v>
      </c>
      <c r="AF2" s="8" t="s">
        <v>686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614</v>
      </c>
      <c r="AB3" t="s">
        <v>449</v>
      </c>
      <c r="AC3" t="s">
        <v>628</v>
      </c>
      <c r="AD3" s="3">
        <v>2</v>
      </c>
      <c r="AE3" s="3" t="s">
        <v>641</v>
      </c>
    </row>
    <row r="4" spans="2:32">
      <c r="B4" t="s">
        <v>399</v>
      </c>
      <c r="C4" s="44" t="s">
        <v>519</v>
      </c>
      <c r="D4" s="45" t="s">
        <v>518</v>
      </c>
      <c r="E4" s="44" t="s">
        <v>519</v>
      </c>
      <c r="F4" s="45" t="s">
        <v>518</v>
      </c>
      <c r="G4" s="44" t="s">
        <v>519</v>
      </c>
      <c r="H4" s="45" t="s">
        <v>518</v>
      </c>
      <c r="I4" s="44" t="s">
        <v>519</v>
      </c>
      <c r="J4" s="45" t="s">
        <v>518</v>
      </c>
      <c r="K4" s="44" t="s">
        <v>519</v>
      </c>
      <c r="L4" s="45" t="s">
        <v>518</v>
      </c>
      <c r="M4" s="44" t="s">
        <v>519</v>
      </c>
      <c r="N4" s="45" t="s">
        <v>518</v>
      </c>
      <c r="O4" s="44" t="s">
        <v>519</v>
      </c>
      <c r="P4" s="45" t="s">
        <v>518</v>
      </c>
      <c r="Q4" s="46" t="s">
        <v>519</v>
      </c>
      <c r="AA4" t="s">
        <v>615</v>
      </c>
      <c r="AB4" t="s">
        <v>450</v>
      </c>
      <c r="AC4" t="s">
        <v>628</v>
      </c>
      <c r="AD4" s="3">
        <v>4</v>
      </c>
      <c r="AE4" s="3" t="s">
        <v>642</v>
      </c>
    </row>
    <row r="5" spans="2:32" ht="17" thickBot="1">
      <c r="C5" s="60" t="s">
        <v>449</v>
      </c>
      <c r="D5" s="62"/>
      <c r="E5" s="60" t="s">
        <v>450</v>
      </c>
      <c r="F5" s="62"/>
      <c r="G5" s="60" t="s">
        <v>453</v>
      </c>
      <c r="H5" s="62"/>
      <c r="I5" s="60" t="s">
        <v>454</v>
      </c>
      <c r="J5" s="62"/>
      <c r="K5" s="60" t="s">
        <v>457</v>
      </c>
      <c r="L5" s="62"/>
      <c r="M5" s="60" t="s">
        <v>458</v>
      </c>
      <c r="N5" s="62"/>
      <c r="O5" s="60" t="s">
        <v>521</v>
      </c>
      <c r="P5" s="62"/>
      <c r="Q5" s="63" t="s">
        <v>606</v>
      </c>
      <c r="AA5" t="s">
        <v>616</v>
      </c>
      <c r="AB5" t="s">
        <v>453</v>
      </c>
      <c r="AC5" t="s">
        <v>628</v>
      </c>
      <c r="AD5" s="3">
        <v>6</v>
      </c>
      <c r="AE5" s="3" t="s">
        <v>643</v>
      </c>
    </row>
    <row r="6" spans="2:32" ht="17" thickBot="1">
      <c r="AA6" t="s">
        <v>623</v>
      </c>
      <c r="AB6" t="s">
        <v>454</v>
      </c>
      <c r="AC6" t="s">
        <v>628</v>
      </c>
      <c r="AD6" s="3">
        <v>8</v>
      </c>
      <c r="AE6" s="3" t="s">
        <v>644</v>
      </c>
      <c r="AF6" s="34"/>
    </row>
    <row r="7" spans="2:32">
      <c r="B7" t="s">
        <v>400</v>
      </c>
      <c r="C7" s="54" t="s">
        <v>435</v>
      </c>
      <c r="D7" s="64"/>
      <c r="E7" s="54" t="s">
        <v>438</v>
      </c>
      <c r="F7" s="64"/>
      <c r="G7" s="54" t="s">
        <v>511</v>
      </c>
      <c r="H7" s="64"/>
      <c r="I7" s="47"/>
      <c r="J7" s="71"/>
      <c r="K7" s="71" t="s">
        <v>515</v>
      </c>
      <c r="L7" s="71"/>
      <c r="M7" s="72"/>
      <c r="N7" s="69" t="s">
        <v>598</v>
      </c>
      <c r="O7" s="70"/>
      <c r="P7" s="65" t="s">
        <v>520</v>
      </c>
      <c r="Q7" s="65" t="s">
        <v>605</v>
      </c>
      <c r="AA7" t="s">
        <v>617</v>
      </c>
      <c r="AB7" t="s">
        <v>457</v>
      </c>
      <c r="AC7" t="s">
        <v>628</v>
      </c>
      <c r="AD7" s="3">
        <v>10</v>
      </c>
      <c r="AE7" s="3" t="s">
        <v>645</v>
      </c>
    </row>
    <row r="8" spans="2:32" ht="17" thickBot="1">
      <c r="C8" s="57" t="s">
        <v>519</v>
      </c>
      <c r="D8" s="58" t="s">
        <v>518</v>
      </c>
      <c r="E8" s="57" t="s">
        <v>519</v>
      </c>
      <c r="F8" s="58" t="s">
        <v>518</v>
      </c>
      <c r="G8" s="57" t="s">
        <v>519</v>
      </c>
      <c r="H8" s="58" t="s">
        <v>518</v>
      </c>
      <c r="I8" s="53"/>
      <c r="J8" s="51"/>
      <c r="K8" s="51"/>
      <c r="L8" s="51"/>
      <c r="M8" s="52"/>
      <c r="N8" s="57" t="s">
        <v>517</v>
      </c>
      <c r="O8" s="58" t="s">
        <v>516</v>
      </c>
      <c r="P8" s="61" t="s">
        <v>518</v>
      </c>
      <c r="Q8" s="61" t="s">
        <v>519</v>
      </c>
      <c r="AA8" t="s">
        <v>618</v>
      </c>
      <c r="AB8" t="s">
        <v>458</v>
      </c>
      <c r="AC8" t="s">
        <v>628</v>
      </c>
      <c r="AD8" s="3">
        <v>12</v>
      </c>
      <c r="AE8" s="3" t="s">
        <v>646</v>
      </c>
    </row>
    <row r="9" spans="2:32">
      <c r="AA9" t="s">
        <v>619</v>
      </c>
      <c r="AB9" t="s">
        <v>435</v>
      </c>
      <c r="AC9" t="s">
        <v>628</v>
      </c>
      <c r="AD9" s="3">
        <v>1</v>
      </c>
      <c r="AE9" s="3" t="s">
        <v>647</v>
      </c>
    </row>
    <row r="10" spans="2:32">
      <c r="B10" t="s">
        <v>576</v>
      </c>
      <c r="AA10" t="s">
        <v>620</v>
      </c>
      <c r="AB10" t="s">
        <v>438</v>
      </c>
      <c r="AC10" t="s">
        <v>628</v>
      </c>
      <c r="AD10" s="3">
        <v>3</v>
      </c>
      <c r="AE10" s="3" t="s">
        <v>648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622</v>
      </c>
      <c r="AB11" t="s">
        <v>511</v>
      </c>
      <c r="AC11" t="s">
        <v>629</v>
      </c>
      <c r="AD11" s="3">
        <v>5</v>
      </c>
      <c r="AE11" s="3" t="s">
        <v>649</v>
      </c>
    </row>
    <row r="12" spans="2:32">
      <c r="B12" t="s">
        <v>399</v>
      </c>
      <c r="C12" s="44" t="s">
        <v>516</v>
      </c>
      <c r="D12" s="45" t="s">
        <v>517</v>
      </c>
      <c r="E12" s="41"/>
      <c r="F12" s="43"/>
      <c r="G12" s="42"/>
      <c r="H12" s="44" t="s">
        <v>517</v>
      </c>
      <c r="I12" s="50" t="s">
        <v>517</v>
      </c>
      <c r="J12" s="50" t="s">
        <v>516</v>
      </c>
      <c r="K12" s="45" t="s">
        <v>516</v>
      </c>
      <c r="L12" s="3"/>
      <c r="M12" s="44" t="s">
        <v>516</v>
      </c>
      <c r="N12" s="50" t="s">
        <v>517</v>
      </c>
      <c r="O12" s="45" t="s">
        <v>515</v>
      </c>
      <c r="P12" s="44" t="s">
        <v>516</v>
      </c>
      <c r="Q12" s="50" t="s">
        <v>517</v>
      </c>
      <c r="R12" s="45" t="s">
        <v>515</v>
      </c>
      <c r="S12" s="44" t="s">
        <v>516</v>
      </c>
      <c r="T12" s="50" t="s">
        <v>517</v>
      </c>
      <c r="U12" s="45" t="s">
        <v>515</v>
      </c>
      <c r="AA12" t="s">
        <v>630</v>
      </c>
      <c r="AD12" s="3">
        <v>14</v>
      </c>
      <c r="AE12" s="3" t="s">
        <v>650</v>
      </c>
    </row>
    <row r="13" spans="2:32" ht="17" thickBot="1">
      <c r="C13" s="60" t="s">
        <v>504</v>
      </c>
      <c r="D13" s="52"/>
      <c r="E13" s="53"/>
      <c r="F13" s="51" t="s">
        <v>515</v>
      </c>
      <c r="G13" s="52"/>
      <c r="H13" s="53"/>
      <c r="I13" s="49"/>
      <c r="J13" s="51" t="s">
        <v>428</v>
      </c>
      <c r="K13" s="52"/>
      <c r="L13" s="3"/>
      <c r="M13" s="53"/>
      <c r="N13" s="51" t="s">
        <v>430</v>
      </c>
      <c r="O13" s="52"/>
      <c r="P13" s="53"/>
      <c r="Q13" s="51" t="s">
        <v>432</v>
      </c>
      <c r="R13" s="52"/>
      <c r="S13" s="53"/>
      <c r="T13" s="51" t="s">
        <v>433</v>
      </c>
      <c r="U13" s="52"/>
    </row>
    <row r="14" spans="2:32" ht="17" thickBot="1">
      <c r="AA14" t="s">
        <v>687</v>
      </c>
      <c r="AC14" s="3" t="s">
        <v>688</v>
      </c>
      <c r="AE14" s="3" t="s">
        <v>690</v>
      </c>
      <c r="AF14" s="3" t="s">
        <v>692</v>
      </c>
    </row>
    <row r="15" spans="2:32">
      <c r="B15" t="s">
        <v>400</v>
      </c>
      <c r="C15" s="54" t="s">
        <v>570</v>
      </c>
      <c r="D15" s="42"/>
      <c r="E15" s="54" t="s">
        <v>571</v>
      </c>
      <c r="F15" s="42"/>
      <c r="G15" s="54"/>
      <c r="H15" s="55" t="s">
        <v>441</v>
      </c>
      <c r="I15" s="48"/>
      <c r="J15" s="56"/>
      <c r="K15" s="42"/>
      <c r="L15" s="3"/>
      <c r="M15" s="54"/>
      <c r="N15" s="55" t="s">
        <v>442</v>
      </c>
      <c r="O15" s="48"/>
      <c r="P15" s="56"/>
      <c r="Q15" s="42"/>
      <c r="R15" s="55" t="s">
        <v>515</v>
      </c>
      <c r="S15" s="42"/>
      <c r="T15" s="54" t="s">
        <v>531</v>
      </c>
      <c r="U15" s="42"/>
      <c r="AC15" s="3" t="s">
        <v>689</v>
      </c>
      <c r="AE15" s="3" t="s">
        <v>691</v>
      </c>
    </row>
    <row r="16" spans="2:32" ht="17" thickBot="1">
      <c r="C16" s="57" t="s">
        <v>516</v>
      </c>
      <c r="D16" s="58" t="s">
        <v>517</v>
      </c>
      <c r="E16" s="57" t="s">
        <v>516</v>
      </c>
      <c r="F16" s="58" t="s">
        <v>517</v>
      </c>
      <c r="G16" s="57" t="s">
        <v>516</v>
      </c>
      <c r="H16" s="59" t="s">
        <v>517</v>
      </c>
      <c r="I16" s="59" t="s">
        <v>522</v>
      </c>
      <c r="J16" s="59" t="s">
        <v>523</v>
      </c>
      <c r="K16" s="58" t="s">
        <v>524</v>
      </c>
      <c r="L16" s="3"/>
      <c r="M16" s="57" t="s">
        <v>516</v>
      </c>
      <c r="N16" s="59" t="s">
        <v>517</v>
      </c>
      <c r="O16" s="59" t="s">
        <v>522</v>
      </c>
      <c r="P16" s="59" t="s">
        <v>523</v>
      </c>
      <c r="Q16" s="58" t="s">
        <v>524</v>
      </c>
      <c r="R16" s="59"/>
      <c r="S16" s="58"/>
      <c r="T16" s="57" t="s">
        <v>516</v>
      </c>
      <c r="U16" s="58" t="s">
        <v>517</v>
      </c>
    </row>
    <row r="18" spans="27:31">
      <c r="AA18" s="34" t="s">
        <v>607</v>
      </c>
    </row>
    <row r="19" spans="27:31">
      <c r="AA19" t="s">
        <v>525</v>
      </c>
      <c r="AB19" t="s">
        <v>570</v>
      </c>
      <c r="AC19" t="s">
        <v>631</v>
      </c>
      <c r="AD19" s="3">
        <v>5</v>
      </c>
      <c r="AE19" s="3" t="s">
        <v>651</v>
      </c>
    </row>
    <row r="21" spans="27:31">
      <c r="AA21" t="s">
        <v>569</v>
      </c>
      <c r="AB21" t="s">
        <v>571</v>
      </c>
      <c r="AC21" t="s">
        <v>632</v>
      </c>
      <c r="AD21" s="3">
        <v>7</v>
      </c>
      <c r="AE21" s="3" t="s">
        <v>652</v>
      </c>
    </row>
    <row r="22" spans="27:31">
      <c r="AC22" t="s">
        <v>633</v>
      </c>
      <c r="AD22" s="3">
        <v>9</v>
      </c>
      <c r="AE22" s="3" t="s">
        <v>653</v>
      </c>
    </row>
    <row r="24" spans="27:31">
      <c r="AA24" t="s">
        <v>612</v>
      </c>
      <c r="AB24" t="s">
        <v>530</v>
      </c>
      <c r="AC24" t="s">
        <v>608</v>
      </c>
      <c r="AD24" s="3">
        <v>11</v>
      </c>
      <c r="AE24" s="3" t="s">
        <v>654</v>
      </c>
    </row>
    <row r="25" spans="27:31">
      <c r="AC25" t="s">
        <v>611</v>
      </c>
      <c r="AD25" s="3">
        <v>13</v>
      </c>
      <c r="AE25" s="3" t="s">
        <v>655</v>
      </c>
    </row>
    <row r="26" spans="27:31">
      <c r="AC26" t="s">
        <v>609</v>
      </c>
      <c r="AD26" s="3">
        <v>19</v>
      </c>
      <c r="AE26" s="3" t="s">
        <v>658</v>
      </c>
    </row>
    <row r="27" spans="27:31">
      <c r="AC27" t="s">
        <v>610</v>
      </c>
      <c r="AD27" s="3">
        <v>21</v>
      </c>
      <c r="AE27" s="3" t="s">
        <v>659</v>
      </c>
    </row>
    <row r="29" spans="27:31">
      <c r="AA29" t="s">
        <v>613</v>
      </c>
      <c r="AB29" t="s">
        <v>442</v>
      </c>
      <c r="AC29" t="s">
        <v>608</v>
      </c>
      <c r="AD29" s="3">
        <v>15</v>
      </c>
      <c r="AE29" s="3" t="s">
        <v>656</v>
      </c>
    </row>
    <row r="30" spans="27:31">
      <c r="AC30" t="s">
        <v>611</v>
      </c>
      <c r="AD30" s="3">
        <v>17</v>
      </c>
      <c r="AE30" s="3" t="s">
        <v>657</v>
      </c>
    </row>
    <row r="31" spans="27:31">
      <c r="AC31" t="s">
        <v>609</v>
      </c>
      <c r="AD31" s="3">
        <v>23</v>
      </c>
      <c r="AE31" s="3" t="s">
        <v>660</v>
      </c>
    </row>
    <row r="32" spans="27:31">
      <c r="AC32" t="s">
        <v>610</v>
      </c>
      <c r="AD32" s="3">
        <v>25</v>
      </c>
      <c r="AE32" s="3" t="s">
        <v>661</v>
      </c>
    </row>
    <row r="34" spans="27:32">
      <c r="AA34" t="s">
        <v>621</v>
      </c>
      <c r="AB34" t="s">
        <v>504</v>
      </c>
      <c r="AC34" t="s">
        <v>634</v>
      </c>
      <c r="AD34" s="3">
        <v>6</v>
      </c>
      <c r="AE34" s="3" t="s">
        <v>662</v>
      </c>
    </row>
    <row r="36" spans="27:32">
      <c r="AA36" t="s">
        <v>526</v>
      </c>
      <c r="AB36" t="s">
        <v>428</v>
      </c>
      <c r="AC36" t="s">
        <v>637</v>
      </c>
      <c r="AD36" s="3">
        <v>8</v>
      </c>
      <c r="AE36" s="3" t="s">
        <v>663</v>
      </c>
    </row>
    <row r="37" spans="27:32">
      <c r="AC37" t="s">
        <v>638</v>
      </c>
      <c r="AD37" s="3">
        <v>10</v>
      </c>
      <c r="AE37" s="3" t="s">
        <v>664</v>
      </c>
    </row>
    <row r="38" spans="27:32">
      <c r="AC38" t="s">
        <v>639</v>
      </c>
      <c r="AD38" s="3">
        <v>12</v>
      </c>
      <c r="AE38" s="3" t="s">
        <v>665</v>
      </c>
    </row>
    <row r="39" spans="27:32">
      <c r="AC39" t="s">
        <v>635</v>
      </c>
      <c r="AD39" s="3">
        <v>14</v>
      </c>
      <c r="AE39" s="3" t="s">
        <v>666</v>
      </c>
    </row>
    <row r="40" spans="27:32">
      <c r="AC40" t="s">
        <v>640</v>
      </c>
      <c r="AD40" s="3">
        <v>16</v>
      </c>
      <c r="AE40" s="3" t="s">
        <v>667</v>
      </c>
    </row>
    <row r="42" spans="27:32">
      <c r="AA42" t="s">
        <v>636</v>
      </c>
      <c r="AC42" t="s">
        <v>638</v>
      </c>
      <c r="AD42" s="3">
        <v>18</v>
      </c>
      <c r="AE42" s="3" t="s">
        <v>671</v>
      </c>
    </row>
    <row r="43" spans="27:32">
      <c r="AA43" t="s">
        <v>636</v>
      </c>
      <c r="AC43" t="s">
        <v>637</v>
      </c>
      <c r="AD43" s="3">
        <v>20</v>
      </c>
      <c r="AE43" s="3" t="s">
        <v>672</v>
      </c>
    </row>
    <row r="44" spans="27:32">
      <c r="AA44" t="s">
        <v>527</v>
      </c>
      <c r="AB44" t="s">
        <v>430</v>
      </c>
      <c r="AC44" t="s">
        <v>635</v>
      </c>
      <c r="AD44" s="3">
        <v>22</v>
      </c>
      <c r="AE44" s="3" t="s">
        <v>668</v>
      </c>
    </row>
    <row r="45" spans="27:32">
      <c r="AA45" t="s">
        <v>529</v>
      </c>
      <c r="AB45" t="s">
        <v>432</v>
      </c>
      <c r="AC45" t="s">
        <v>635</v>
      </c>
      <c r="AD45" s="3">
        <v>24</v>
      </c>
      <c r="AE45" s="3" t="s">
        <v>669</v>
      </c>
    </row>
    <row r="46" spans="27:32">
      <c r="AA46" t="s">
        <v>528</v>
      </c>
      <c r="AB46" t="s">
        <v>433</v>
      </c>
      <c r="AC46" t="s">
        <v>635</v>
      </c>
      <c r="AD46" s="3">
        <v>26</v>
      </c>
      <c r="AE46" s="3" t="s">
        <v>670</v>
      </c>
    </row>
    <row r="48" spans="27:32">
      <c r="AA48" t="s">
        <v>687</v>
      </c>
      <c r="AC48" s="3" t="s">
        <v>688</v>
      </c>
      <c r="AE48" s="3" t="s">
        <v>690</v>
      </c>
      <c r="AF48" s="3" t="s">
        <v>692</v>
      </c>
    </row>
    <row r="49" spans="29:31">
      <c r="AC49" s="3" t="s">
        <v>689</v>
      </c>
      <c r="AE49" s="3" t="s">
        <v>691</v>
      </c>
    </row>
  </sheetData>
  <pageMargins left="0.7" right="0.7" top="0.75" bottom="0.75" header="0.3" footer="0.3"/>
  <pageSetup scale="57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577</v>
      </c>
    </row>
    <row r="5" spans="2:11">
      <c r="D5" s="3" t="s">
        <v>581</v>
      </c>
      <c r="E5" s="3" t="s">
        <v>582</v>
      </c>
      <c r="F5" t="s">
        <v>588</v>
      </c>
      <c r="G5" s="3" t="s">
        <v>626</v>
      </c>
      <c r="H5" s="3" t="s">
        <v>673</v>
      </c>
      <c r="I5" s="3" t="s">
        <v>686</v>
      </c>
    </row>
    <row r="6" spans="2:11">
      <c r="B6" s="67" t="s">
        <v>416</v>
      </c>
      <c r="C6" s="40" t="s">
        <v>445</v>
      </c>
      <c r="D6" s="3" t="s">
        <v>583</v>
      </c>
      <c r="E6" s="3">
        <v>4</v>
      </c>
      <c r="F6" s="3">
        <v>4</v>
      </c>
      <c r="I6" t="s">
        <v>695</v>
      </c>
    </row>
    <row r="7" spans="2:11">
      <c r="G7" s="3" t="s">
        <v>680</v>
      </c>
      <c r="H7" s="3" t="s">
        <v>679</v>
      </c>
    </row>
    <row r="8" spans="2:11">
      <c r="B8" s="67" t="s">
        <v>469</v>
      </c>
      <c r="C8" s="40" t="s">
        <v>489</v>
      </c>
      <c r="D8" s="3" t="s">
        <v>583</v>
      </c>
      <c r="E8" s="3">
        <v>4</v>
      </c>
      <c r="F8" s="3">
        <v>4</v>
      </c>
      <c r="I8" t="s">
        <v>694</v>
      </c>
    </row>
    <row r="9" spans="2:11">
      <c r="G9" s="3" t="s">
        <v>693</v>
      </c>
      <c r="H9" s="3">
        <v>21</v>
      </c>
    </row>
    <row r="10" spans="2:11">
      <c r="G10" s="3" t="s">
        <v>674</v>
      </c>
      <c r="H10" s="3">
        <v>20</v>
      </c>
    </row>
    <row r="11" spans="2:11">
      <c r="B11" s="67" t="s">
        <v>417</v>
      </c>
      <c r="C11" s="40" t="s">
        <v>446</v>
      </c>
      <c r="D11" s="3" t="s">
        <v>584</v>
      </c>
      <c r="E11" s="3">
        <v>3</v>
      </c>
      <c r="F11" s="3">
        <v>3</v>
      </c>
    </row>
    <row r="12" spans="2:11">
      <c r="G12" s="3" t="s">
        <v>637</v>
      </c>
      <c r="H12" s="3" t="s">
        <v>663</v>
      </c>
      <c r="K12" s="3"/>
    </row>
    <row r="13" spans="2:11">
      <c r="G13" s="3" t="s">
        <v>638</v>
      </c>
      <c r="H13" s="3" t="s">
        <v>664</v>
      </c>
      <c r="K13" s="3"/>
    </row>
    <row r="14" spans="2:11">
      <c r="G14" s="3" t="s">
        <v>639</v>
      </c>
      <c r="H14" s="3" t="s">
        <v>665</v>
      </c>
      <c r="K14" s="3"/>
    </row>
    <row r="15" spans="2:11">
      <c r="G15" s="3" t="s">
        <v>635</v>
      </c>
      <c r="H15" s="3" t="s">
        <v>666</v>
      </c>
      <c r="K15" s="3"/>
    </row>
    <row r="16" spans="2:11">
      <c r="G16" s="3" t="s">
        <v>640</v>
      </c>
      <c r="H16" s="3" t="s">
        <v>667</v>
      </c>
      <c r="K16" s="3"/>
    </row>
    <row r="17" spans="2:8">
      <c r="B17" s="67" t="s">
        <v>465</v>
      </c>
      <c r="C17" s="40" t="s">
        <v>464</v>
      </c>
      <c r="D17" s="3" t="s">
        <v>585</v>
      </c>
      <c r="E17" s="3">
        <v>3</v>
      </c>
      <c r="F17" s="3">
        <v>3</v>
      </c>
      <c r="H17" s="3" t="s">
        <v>675</v>
      </c>
    </row>
    <row r="18" spans="2:8">
      <c r="B18" s="67" t="s">
        <v>463</v>
      </c>
      <c r="C18" s="40" t="s">
        <v>466</v>
      </c>
      <c r="D18" s="3" t="s">
        <v>585</v>
      </c>
      <c r="E18" s="3">
        <v>3</v>
      </c>
      <c r="F18" s="3">
        <v>3</v>
      </c>
      <c r="H18" s="3" t="s">
        <v>676</v>
      </c>
    </row>
    <row r="19" spans="2:8">
      <c r="B19" s="67" t="s">
        <v>467</v>
      </c>
      <c r="C19" s="40" t="s">
        <v>468</v>
      </c>
      <c r="D19" s="3" t="s">
        <v>585</v>
      </c>
      <c r="E19" s="3">
        <v>3</v>
      </c>
      <c r="F19" s="3">
        <v>3</v>
      </c>
      <c r="H19" s="3" t="s">
        <v>677</v>
      </c>
    </row>
    <row r="20" spans="2:8">
      <c r="B20" s="67" t="s">
        <v>593</v>
      </c>
      <c r="C20" s="40" t="s">
        <v>594</v>
      </c>
      <c r="D20" s="3" t="s">
        <v>590</v>
      </c>
      <c r="E20" s="3">
        <v>3</v>
      </c>
      <c r="F20" s="3">
        <v>3</v>
      </c>
      <c r="H20" s="3" t="s">
        <v>678</v>
      </c>
    </row>
    <row r="21" spans="2:8">
      <c r="B21" s="10" t="s">
        <v>579</v>
      </c>
      <c r="D21" s="3" t="s">
        <v>591</v>
      </c>
      <c r="E21" s="3">
        <v>2</v>
      </c>
      <c r="F21" s="3">
        <v>3</v>
      </c>
      <c r="H21" s="3" t="s">
        <v>656</v>
      </c>
    </row>
    <row r="22" spans="2:8">
      <c r="B22" s="10" t="s">
        <v>580</v>
      </c>
      <c r="D22" s="3" t="s">
        <v>592</v>
      </c>
      <c r="E22" s="3">
        <v>4</v>
      </c>
      <c r="F22" s="3">
        <v>4</v>
      </c>
      <c r="G22" s="3" t="s">
        <v>681</v>
      </c>
      <c r="H22" s="3" t="s">
        <v>655</v>
      </c>
    </row>
    <row r="23" spans="2:8">
      <c r="G23" s="3" t="s">
        <v>682</v>
      </c>
      <c r="H23" s="3" t="s">
        <v>654</v>
      </c>
    </row>
    <row r="24" spans="2:8">
      <c r="G24" s="3" t="s">
        <v>683</v>
      </c>
      <c r="H24" s="3" t="s">
        <v>653</v>
      </c>
    </row>
    <row r="25" spans="2:8">
      <c r="B25" s="10" t="s">
        <v>586</v>
      </c>
      <c r="D25" s="3" t="s">
        <v>587</v>
      </c>
      <c r="E25" s="3">
        <v>5</v>
      </c>
      <c r="F25" s="3">
        <v>5</v>
      </c>
    </row>
    <row r="26" spans="2:8">
      <c r="G26" s="3" t="s">
        <v>684</v>
      </c>
      <c r="H26" s="3" t="s">
        <v>661</v>
      </c>
    </row>
    <row r="27" spans="2:8">
      <c r="G27" s="3" t="s">
        <v>685</v>
      </c>
      <c r="H27" s="3" t="s">
        <v>660</v>
      </c>
    </row>
    <row r="28" spans="2:8">
      <c r="G28" s="3" t="s">
        <v>663</v>
      </c>
      <c r="H28" s="3" t="s">
        <v>659</v>
      </c>
    </row>
    <row r="29" spans="2:8">
      <c r="B29" s="10" t="s">
        <v>578</v>
      </c>
      <c r="D29" s="3" t="s">
        <v>531</v>
      </c>
      <c r="E29" s="3">
        <v>2</v>
      </c>
      <c r="F29" s="3">
        <v>3</v>
      </c>
    </row>
    <row r="30" spans="2:8">
      <c r="B30" s="10" t="s">
        <v>589</v>
      </c>
      <c r="D30" s="3" t="s">
        <v>531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topLeftCell="A13" workbookViewId="0">
      <selection activeCell="B57" sqref="B57"/>
    </sheetView>
  </sheetViews>
  <sheetFormatPr baseColWidth="10" defaultRowHeight="16"/>
  <cols>
    <col min="2" max="2" width="85.33203125" customWidth="1"/>
  </cols>
  <sheetData>
    <row r="6" spans="2:2" ht="21">
      <c r="B6" s="73" t="s">
        <v>711</v>
      </c>
    </row>
    <row r="8" spans="2:2" ht="18">
      <c r="B8" s="73" t="s">
        <v>704</v>
      </c>
    </row>
    <row r="10" spans="2:2" ht="18">
      <c r="B10" s="73" t="s">
        <v>705</v>
      </c>
    </row>
    <row r="12" spans="2:2" ht="18">
      <c r="B12" s="73" t="s">
        <v>706</v>
      </c>
    </row>
    <row r="14" spans="2:2" ht="18">
      <c r="B14" s="73" t="s">
        <v>707</v>
      </c>
    </row>
    <row r="16" spans="2:2" ht="20">
      <c r="B16" s="73" t="s">
        <v>708</v>
      </c>
    </row>
    <row r="18" spans="2:5" ht="20">
      <c r="B18" s="73" t="s">
        <v>709</v>
      </c>
    </row>
    <row r="20" spans="2:5" ht="18">
      <c r="B20" s="74" t="s">
        <v>710</v>
      </c>
    </row>
    <row r="23" spans="2:5">
      <c r="C23" t="s">
        <v>518</v>
      </c>
      <c r="D23">
        <v>1</v>
      </c>
      <c r="E23" t="s">
        <v>712</v>
      </c>
    </row>
    <row r="24" spans="2:5">
      <c r="C24" t="s">
        <v>713</v>
      </c>
      <c r="D24">
        <v>1.41</v>
      </c>
      <c r="E24" t="s">
        <v>719</v>
      </c>
    </row>
    <row r="25" spans="2:5">
      <c r="C25" t="s">
        <v>714</v>
      </c>
      <c r="D25">
        <v>14.7</v>
      </c>
      <c r="E25" t="s">
        <v>718</v>
      </c>
    </row>
    <row r="26" spans="2:5">
      <c r="C26" t="s">
        <v>715</v>
      </c>
      <c r="D26" s="66">
        <f>D29+14.7</f>
        <v>60</v>
      </c>
      <c r="E26" t="s">
        <v>718</v>
      </c>
    </row>
    <row r="28" spans="2:5">
      <c r="C28" t="s">
        <v>717</v>
      </c>
      <c r="D28" s="26">
        <v>5</v>
      </c>
      <c r="E28" t="s">
        <v>294</v>
      </c>
    </row>
    <row r="29" spans="2:5">
      <c r="C29" t="s">
        <v>716</v>
      </c>
      <c r="D29" s="26">
        <v>45.3</v>
      </c>
      <c r="E29" t="s">
        <v>18</v>
      </c>
    </row>
    <row r="31" spans="2:5">
      <c r="C31" t="s">
        <v>722</v>
      </c>
      <c r="D31" s="22">
        <f>(144*D23*D25*D28*D24/(33000*(D24-1)))*((D26/D25)^((D24-1)/(D23*D24))-1)</f>
        <v>0.55732237182397459</v>
      </c>
    </row>
    <row r="32" spans="2:5">
      <c r="C32" t="s">
        <v>721</v>
      </c>
      <c r="D32">
        <v>0.8</v>
      </c>
    </row>
    <row r="33" spans="3:13">
      <c r="C33" t="s">
        <v>720</v>
      </c>
      <c r="D33" s="1">
        <f>D31*0.7457/D32</f>
        <v>0.51949411583642224</v>
      </c>
    </row>
    <row r="38" spans="3:13">
      <c r="C38" t="s">
        <v>518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713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714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715</v>
      </c>
      <c r="D41" s="66">
        <f>D44+14.7</f>
        <v>54.7</v>
      </c>
      <c r="E41" s="66">
        <f>E44+14.7</f>
        <v>54.7</v>
      </c>
      <c r="F41" s="66">
        <f>F44+14.7</f>
        <v>54.7</v>
      </c>
      <c r="G41" s="66">
        <f>G44+14.7</f>
        <v>54.7</v>
      </c>
      <c r="H41" s="66">
        <f>H44+14.7</f>
        <v>54.7</v>
      </c>
      <c r="I41" s="66">
        <f>I44+14.7</f>
        <v>54.7</v>
      </c>
      <c r="J41" s="66">
        <f>J44+14.7</f>
        <v>54.7</v>
      </c>
      <c r="K41" s="66">
        <f>K44+14.7</f>
        <v>54.7</v>
      </c>
      <c r="L41" s="66">
        <f>L44+14.7</f>
        <v>54.7</v>
      </c>
      <c r="M41" s="66">
        <f>M44+14.7</f>
        <v>54.7</v>
      </c>
    </row>
    <row r="43" spans="3:13">
      <c r="C43" t="s">
        <v>717</v>
      </c>
      <c r="D43" s="26">
        <v>1</v>
      </c>
      <c r="E43" s="26">
        <v>2</v>
      </c>
      <c r="F43" s="26">
        <v>3</v>
      </c>
      <c r="G43" s="26">
        <v>4</v>
      </c>
      <c r="H43" s="26">
        <v>5</v>
      </c>
      <c r="I43" s="26">
        <v>6</v>
      </c>
      <c r="J43" s="26">
        <v>7</v>
      </c>
      <c r="K43" s="26">
        <v>8</v>
      </c>
      <c r="L43" s="26">
        <v>9</v>
      </c>
      <c r="M43" s="26">
        <v>10</v>
      </c>
    </row>
    <row r="44" spans="3:13">
      <c r="C44" t="s">
        <v>716</v>
      </c>
      <c r="D44" s="26">
        <v>40</v>
      </c>
      <c r="E44" s="26">
        <v>40</v>
      </c>
      <c r="F44" s="26">
        <v>40</v>
      </c>
      <c r="G44" s="26">
        <v>40</v>
      </c>
      <c r="H44" s="26">
        <v>40</v>
      </c>
      <c r="I44" s="26">
        <v>40</v>
      </c>
      <c r="J44" s="26">
        <v>40</v>
      </c>
      <c r="K44" s="26">
        <v>40</v>
      </c>
      <c r="L44" s="26">
        <v>40</v>
      </c>
      <c r="M44" s="26">
        <v>40</v>
      </c>
    </row>
    <row r="46" spans="3:13">
      <c r="C46" t="s">
        <v>722</v>
      </c>
      <c r="D46" s="22">
        <f>(144*D38*D40*D43*D39/(33000*(D39-1)))*((D41/D40)^((D39-1)/(D38*D39))-1)</f>
        <v>0.1026537881276072</v>
      </c>
      <c r="E46" s="22">
        <f>(144*E38*E40*E43*E39/(33000*(E39-1)))*((E41/E40)^((E39-1)/(E38*E39))-1)</f>
        <v>0.2053075762552144</v>
      </c>
      <c r="F46" s="22">
        <f>(144*F38*F40*F43*F39/(33000*(F39-1)))*((F41/F40)^((F39-1)/(F38*F39))-1)</f>
        <v>0.30796136438282157</v>
      </c>
      <c r="G46" s="22">
        <f>(144*G38*G40*G43*G39/(33000*(G39-1)))*((G41/G40)^((G39-1)/(G38*G39))-1)</f>
        <v>0.41061515251042879</v>
      </c>
      <c r="H46" s="22">
        <f>(144*H38*H40*H43*H39/(33000*(H39-1)))*((H41/H40)^((H39-1)/(H38*H39))-1)</f>
        <v>0.51326894063803596</v>
      </c>
      <c r="I46" s="22">
        <f>(144*I38*I40*I43*I39/(33000*(I39-1)))*((I41/I40)^((I39-1)/(I38*I39))-1)</f>
        <v>0.61592272876564313</v>
      </c>
      <c r="J46" s="22">
        <f>(144*J38*J40*J43*J39/(33000*(J39-1)))*((J41/J40)^((J39-1)/(J38*J39))-1)</f>
        <v>0.71857651689325019</v>
      </c>
      <c r="K46" s="22">
        <f>(144*K38*K40*K43*K39/(33000*(K39-1)))*((K41/K40)^((K39-1)/(K38*K39))-1)</f>
        <v>0.82123030502085759</v>
      </c>
      <c r="L46" s="22">
        <f>(144*L38*L40*L43*L39/(33000*(L39-1)))*((L41/L40)^((L39-1)/(L38*L39))-1)</f>
        <v>0.92388409314846476</v>
      </c>
      <c r="M46" s="22">
        <f>(144*M38*M40*M43*M39/(33000*(M39-1)))*((M41/M40)^((M39-1)/(M38*M39))-1)</f>
        <v>1.0265378812760719</v>
      </c>
    </row>
    <row r="47" spans="3:13">
      <c r="C47" t="s">
        <v>721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720</v>
      </c>
      <c r="D48" s="1">
        <f>D46*0.7457/D47</f>
        <v>9.5686162258445853E-2</v>
      </c>
      <c r="E48" s="1">
        <f>E46*0.7457/E47</f>
        <v>0.19137232451689171</v>
      </c>
      <c r="F48" s="1">
        <f>F46*0.7457/F47</f>
        <v>0.28705848677533757</v>
      </c>
      <c r="G48" s="1">
        <f>G46*0.7457/G47</f>
        <v>0.38274464903378341</v>
      </c>
      <c r="H48" s="1">
        <f>H46*0.7457/H47</f>
        <v>0.47843081129222925</v>
      </c>
      <c r="I48" s="1">
        <f>I46*0.7457/I47</f>
        <v>0.57411697355067515</v>
      </c>
      <c r="J48" s="1">
        <f>J46*0.7457/J47</f>
        <v>0.66980313580912076</v>
      </c>
      <c r="K48" s="1">
        <f>K46*0.7457/K47</f>
        <v>0.76548929806756683</v>
      </c>
      <c r="L48" s="1">
        <f>L46*0.7457/L47</f>
        <v>0.86117546032601267</v>
      </c>
      <c r="M48" s="1">
        <f>M46*0.7457/M47</f>
        <v>0.9568616225844585</v>
      </c>
    </row>
    <row r="52" spans="3:13">
      <c r="C52" t="s">
        <v>518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713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714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715</v>
      </c>
      <c r="D55" s="66">
        <f>D58+14.7</f>
        <v>74.7</v>
      </c>
      <c r="E55" s="66">
        <f>E58+14.7</f>
        <v>74.7</v>
      </c>
      <c r="F55" s="66">
        <f>F58+14.7</f>
        <v>74.7</v>
      </c>
      <c r="G55" s="66">
        <f>G58+14.7</f>
        <v>74.7</v>
      </c>
      <c r="H55" s="66">
        <f>H58+14.7</f>
        <v>74.7</v>
      </c>
      <c r="I55" s="66">
        <f>I58+14.7</f>
        <v>74.7</v>
      </c>
      <c r="J55" s="66">
        <f>J58+14.7</f>
        <v>74.7</v>
      </c>
      <c r="K55" s="66">
        <f>K58+14.7</f>
        <v>74.7</v>
      </c>
      <c r="L55" s="66">
        <f>L58+14.7</f>
        <v>74.7</v>
      </c>
      <c r="M55" s="66">
        <f>M58+14.7</f>
        <v>74.7</v>
      </c>
    </row>
    <row r="57" spans="3:13">
      <c r="C57" t="s">
        <v>717</v>
      </c>
      <c r="D57" s="26">
        <v>1</v>
      </c>
      <c r="E57" s="26">
        <v>2</v>
      </c>
      <c r="F57" s="26">
        <v>3</v>
      </c>
      <c r="G57" s="26">
        <v>4</v>
      </c>
      <c r="H57" s="26">
        <v>5</v>
      </c>
      <c r="I57" s="26">
        <v>6</v>
      </c>
      <c r="J57" s="26">
        <v>7</v>
      </c>
      <c r="K57" s="26">
        <v>8</v>
      </c>
      <c r="L57" s="26">
        <v>9</v>
      </c>
      <c r="M57" s="26">
        <v>10</v>
      </c>
    </row>
    <row r="58" spans="3:13">
      <c r="C58" t="s">
        <v>716</v>
      </c>
      <c r="D58" s="26">
        <v>60</v>
      </c>
      <c r="E58" s="26">
        <v>60</v>
      </c>
      <c r="F58" s="26">
        <v>60</v>
      </c>
      <c r="G58" s="26">
        <v>60</v>
      </c>
      <c r="H58" s="26">
        <v>60</v>
      </c>
      <c r="I58" s="26">
        <v>60</v>
      </c>
      <c r="J58" s="26">
        <v>60</v>
      </c>
      <c r="K58" s="26">
        <v>60</v>
      </c>
      <c r="L58" s="26">
        <v>60</v>
      </c>
      <c r="M58" s="26">
        <v>60</v>
      </c>
    </row>
    <row r="60" spans="3:13">
      <c r="C60" t="s">
        <v>722</v>
      </c>
      <c r="D60" s="22">
        <f>(144*D52*D54*D57*D53/(33000*(D53-1)))*((D55/D54)^((D53-1)/(D52*D53))-1)</f>
        <v>0.13331224899879454</v>
      </c>
      <c r="E60" s="22">
        <f>(144*E52*E54*E57*E53/(33000*(E53-1)))*((E55/E54)^((E53-1)/(E52*E53))-1)</f>
        <v>0.26662449799758908</v>
      </c>
      <c r="F60" s="22">
        <f>(144*F52*F54*F57*F53/(33000*(F53-1)))*((F55/F54)^((F53-1)/(F52*F53))-1)</f>
        <v>0.3999367469963836</v>
      </c>
      <c r="G60" s="22">
        <f>(144*G52*G54*G57*G53/(33000*(G53-1)))*((G55/G54)^((G53-1)/(G52*G53))-1)</f>
        <v>0.53324899599517817</v>
      </c>
      <c r="H60" s="22">
        <f>(144*H52*H54*H57*H53/(33000*(H53-1)))*((H55/H54)^((H53-1)/(H52*H53))-1)</f>
        <v>0.66656124499397262</v>
      </c>
      <c r="I60" s="22">
        <f>(144*I52*I54*I57*I53/(33000*(I53-1)))*((I55/I54)^((I53-1)/(I52*I53))-1)</f>
        <v>0.79987349399276719</v>
      </c>
      <c r="J60" s="22">
        <f>(144*J52*J54*J57*J53/(33000*(J53-1)))*((J55/J54)^((J53-1)/(J52*J53))-1)</f>
        <v>0.93318574299156154</v>
      </c>
      <c r="K60" s="22">
        <f>(144*K52*K54*K57*K53/(33000*(K53-1)))*((K55/K54)^((K53-1)/(K52*K53))-1)</f>
        <v>1.0664979919903563</v>
      </c>
      <c r="L60" s="22">
        <f>(144*L52*L54*L57*L53/(33000*(L53-1)))*((L55/L54)^((L53-1)/(L52*L53))-1)</f>
        <v>1.1998102409891507</v>
      </c>
      <c r="M60" s="22">
        <f>(144*M52*M54*M57*M53/(33000*(M53-1)))*((M55/M54)^((M53-1)/(M52*M53))-1)</f>
        <v>1.3331224899879452</v>
      </c>
    </row>
    <row r="61" spans="3:13">
      <c r="C61" t="s">
        <v>721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720</v>
      </c>
      <c r="D62" s="1">
        <f>D60*0.7457/D61</f>
        <v>0.12426368009800136</v>
      </c>
      <c r="E62" s="1">
        <f>E60*0.7457/E61</f>
        <v>0.24852736019600272</v>
      </c>
      <c r="F62" s="1">
        <f>F60*0.7457/F61</f>
        <v>0.37279104029400406</v>
      </c>
      <c r="G62" s="1">
        <f>G60*0.7457/G61</f>
        <v>0.49705472039200543</v>
      </c>
      <c r="H62" s="1">
        <f>H60*0.7457/H61</f>
        <v>0.62131840049000664</v>
      </c>
      <c r="I62" s="1">
        <f>I60*0.7457/I61</f>
        <v>0.74558208058800812</v>
      </c>
      <c r="J62" s="1">
        <f>J60*0.7457/J61</f>
        <v>0.86984576068600938</v>
      </c>
      <c r="K62" s="1">
        <f>K60*0.7457/K61</f>
        <v>0.99410944078401087</v>
      </c>
      <c r="L62" s="1">
        <f>L60*0.7457/L61</f>
        <v>1.118373120882012</v>
      </c>
      <c r="M62" s="1">
        <f>M60*0.7457/M61</f>
        <v>1.2426368009800133</v>
      </c>
    </row>
    <row r="66" spans="3:13">
      <c r="C66" t="s">
        <v>518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713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714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715</v>
      </c>
      <c r="D69" s="66">
        <f>D72+14.7</f>
        <v>104.7</v>
      </c>
      <c r="E69" s="66">
        <f>E72+14.7</f>
        <v>104.7</v>
      </c>
      <c r="F69" s="66">
        <f>F72+14.7</f>
        <v>104.7</v>
      </c>
      <c r="G69" s="66">
        <f>G72+14.7</f>
        <v>104.7</v>
      </c>
      <c r="H69" s="66">
        <f>H72+14.7</f>
        <v>104.7</v>
      </c>
      <c r="I69" s="66">
        <f>I72+14.7</f>
        <v>104.7</v>
      </c>
      <c r="J69" s="66">
        <f>J72+14.7</f>
        <v>104.7</v>
      </c>
      <c r="K69" s="66">
        <f>K72+14.7</f>
        <v>104.7</v>
      </c>
      <c r="L69" s="66">
        <f>L72+14.7</f>
        <v>104.7</v>
      </c>
      <c r="M69" s="66">
        <f>M72+14.7</f>
        <v>104.7</v>
      </c>
    </row>
    <row r="71" spans="3:13">
      <c r="C71" t="s">
        <v>717</v>
      </c>
      <c r="D71" s="26">
        <v>1</v>
      </c>
      <c r="E71" s="26">
        <v>2</v>
      </c>
      <c r="F71" s="26">
        <v>3</v>
      </c>
      <c r="G71" s="26">
        <v>4</v>
      </c>
      <c r="H71" s="26">
        <v>5</v>
      </c>
      <c r="I71" s="26">
        <v>6</v>
      </c>
      <c r="J71" s="26">
        <v>7</v>
      </c>
      <c r="K71" s="26">
        <v>8</v>
      </c>
      <c r="L71" s="26">
        <v>9</v>
      </c>
      <c r="M71" s="26">
        <v>10</v>
      </c>
    </row>
    <row r="72" spans="3:13">
      <c r="C72" t="s">
        <v>716</v>
      </c>
      <c r="D72" s="26">
        <v>90</v>
      </c>
      <c r="E72" s="26">
        <v>90</v>
      </c>
      <c r="F72" s="26">
        <v>90</v>
      </c>
      <c r="G72" s="26">
        <v>90</v>
      </c>
      <c r="H72" s="26">
        <v>90</v>
      </c>
      <c r="I72" s="26">
        <v>90</v>
      </c>
      <c r="J72" s="26">
        <v>90</v>
      </c>
      <c r="K72" s="26">
        <v>90</v>
      </c>
      <c r="L72" s="26">
        <v>90</v>
      </c>
      <c r="M72" s="26">
        <v>90</v>
      </c>
    </row>
    <row r="74" spans="3:13">
      <c r="C74" t="s">
        <v>722</v>
      </c>
      <c r="D74" s="22">
        <f>(144*D66*D68*D71*D67/(33000*(D67-1)))*((D69/D68)^((D67-1)/(D66*D67))-1)</f>
        <v>0.1698193120194646</v>
      </c>
      <c r="E74" s="22">
        <f>(144*E66*E68*E71*E67/(33000*(E67-1)))*((E69/E68)^((E67-1)/(E66*E67))-1)</f>
        <v>0.33963862403892919</v>
      </c>
      <c r="F74" s="22">
        <f>(144*F66*F68*F71*F67/(33000*(F67-1)))*((F69/F68)^((F67-1)/(F66*F67))-1)</f>
        <v>0.50945793605839373</v>
      </c>
      <c r="G74" s="22">
        <f>(144*G66*G68*G71*G67/(33000*(G67-1)))*((G69/G68)^((G67-1)/(G66*G67))-1)</f>
        <v>0.67927724807785839</v>
      </c>
      <c r="H74" s="22">
        <f>(144*H66*H68*H71*H67/(33000*(H67-1)))*((H69/H68)^((H67-1)/(H66*H67))-1)</f>
        <v>0.84909656009732293</v>
      </c>
      <c r="I74" s="22">
        <f>(144*I66*I68*I71*I67/(33000*(I67-1)))*((I69/I68)^((I67-1)/(I66*I67))-1)</f>
        <v>1.0189158721167875</v>
      </c>
      <c r="J74" s="22">
        <f>(144*J66*J68*J71*J67/(33000*(J67-1)))*((J69/J68)^((J67-1)/(J66*J67))-1)</f>
        <v>1.1887351841362519</v>
      </c>
      <c r="K74" s="22">
        <f>(144*K66*K68*K71*K67/(33000*(K67-1)))*((K69/K68)^((K67-1)/(K66*K67))-1)</f>
        <v>1.3585544961557168</v>
      </c>
      <c r="L74" s="22">
        <f>(144*L66*L68*L71*L67/(33000*(L67-1)))*((L69/L68)^((L67-1)/(L66*L67))-1)</f>
        <v>1.5283738081751812</v>
      </c>
      <c r="M74" s="22">
        <f>(144*M66*M68*M71*M67/(33000*(M67-1)))*((M69/M68)^((M67-1)/(M66*M67))-1)</f>
        <v>1.6981931201946459</v>
      </c>
    </row>
    <row r="75" spans="3:13">
      <c r="C75" t="s">
        <v>721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720</v>
      </c>
      <c r="D76" s="1">
        <f>D74*0.7457/D75</f>
        <v>0.15829282621614343</v>
      </c>
      <c r="E76" s="1">
        <f>E74*0.7457/E75</f>
        <v>0.31658565243228687</v>
      </c>
      <c r="F76" s="1">
        <f>F74*0.7457/F75</f>
        <v>0.4748784786484303</v>
      </c>
      <c r="G76" s="1">
        <f>G74*0.7457/G75</f>
        <v>0.63317130486457374</v>
      </c>
      <c r="H76" s="1">
        <f>H74*0.7457/H75</f>
        <v>0.79146413108071711</v>
      </c>
      <c r="I76" s="1">
        <f>I74*0.7457/I75</f>
        <v>0.9497569572968606</v>
      </c>
      <c r="J76" s="1">
        <f>J74*0.7457/J75</f>
        <v>1.1080497835130039</v>
      </c>
      <c r="K76" s="1">
        <f>K74*0.7457/K75</f>
        <v>1.2663426097291475</v>
      </c>
      <c r="L76" s="1">
        <f>L74*0.7457/L75</f>
        <v>1.4246354359452909</v>
      </c>
      <c r="M76" s="1">
        <f>M74*0.7457/M75</f>
        <v>1.5829282621614342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D83">
        <f>D71</f>
        <v>1</v>
      </c>
      <c r="E83">
        <f t="shared" ref="E83:M83" si="0">E71</f>
        <v>2</v>
      </c>
      <c r="F83">
        <f t="shared" si="0"/>
        <v>3</v>
      </c>
      <c r="G83">
        <f t="shared" si="0"/>
        <v>4</v>
      </c>
      <c r="H83">
        <f t="shared" si="0"/>
        <v>5</v>
      </c>
      <c r="I83">
        <f t="shared" si="0"/>
        <v>6</v>
      </c>
      <c r="J83">
        <f t="shared" si="0"/>
        <v>7</v>
      </c>
      <c r="K83">
        <f t="shared" si="0"/>
        <v>8</v>
      </c>
      <c r="L83">
        <f t="shared" si="0"/>
        <v>9</v>
      </c>
      <c r="M83">
        <f t="shared" si="0"/>
        <v>10</v>
      </c>
    </row>
    <row r="84" spans="3:13">
      <c r="C84" t="s">
        <v>724</v>
      </c>
      <c r="D84" s="1">
        <f>D48</f>
        <v>9.5686162258445853E-2</v>
      </c>
      <c r="E84" s="1">
        <f t="shared" ref="E84:M84" si="1">E48</f>
        <v>0.19137232451689171</v>
      </c>
      <c r="F84" s="1">
        <f t="shared" si="1"/>
        <v>0.28705848677533757</v>
      </c>
      <c r="G84" s="1">
        <f t="shared" si="1"/>
        <v>0.38274464903378341</v>
      </c>
      <c r="H84" s="1">
        <f t="shared" si="1"/>
        <v>0.47843081129222925</v>
      </c>
      <c r="I84" s="1">
        <f t="shared" si="1"/>
        <v>0.57411697355067515</v>
      </c>
      <c r="J84" s="1">
        <f t="shared" si="1"/>
        <v>0.66980313580912076</v>
      </c>
      <c r="K84" s="1">
        <f t="shared" si="1"/>
        <v>0.76548929806756683</v>
      </c>
      <c r="L84" s="1">
        <f t="shared" si="1"/>
        <v>0.86117546032601267</v>
      </c>
      <c r="M84" s="1">
        <f t="shared" si="1"/>
        <v>0.9568616225844585</v>
      </c>
    </row>
    <row r="85" spans="3:13">
      <c r="C85" t="s">
        <v>723</v>
      </c>
      <c r="D85" s="1">
        <f>D62</f>
        <v>0.12426368009800136</v>
      </c>
      <c r="E85" s="1">
        <f t="shared" ref="E85:M85" si="2">E62</f>
        <v>0.24852736019600272</v>
      </c>
      <c r="F85" s="1">
        <f t="shared" si="2"/>
        <v>0.37279104029400406</v>
      </c>
      <c r="G85" s="1">
        <f t="shared" si="2"/>
        <v>0.49705472039200543</v>
      </c>
      <c r="H85" s="1">
        <f t="shared" si="2"/>
        <v>0.62131840049000664</v>
      </c>
      <c r="I85" s="1">
        <f t="shared" si="2"/>
        <v>0.74558208058800812</v>
      </c>
      <c r="J85" s="1">
        <f t="shared" si="2"/>
        <v>0.86984576068600938</v>
      </c>
      <c r="K85" s="1">
        <f t="shared" si="2"/>
        <v>0.99410944078401087</v>
      </c>
      <c r="L85" s="1">
        <f t="shared" si="2"/>
        <v>1.118373120882012</v>
      </c>
      <c r="M85" s="1">
        <f t="shared" si="2"/>
        <v>1.2426368009800133</v>
      </c>
    </row>
    <row r="86" spans="3:13">
      <c r="C86" t="s">
        <v>725</v>
      </c>
      <c r="D86" s="1">
        <f>D76</f>
        <v>0.15829282621614343</v>
      </c>
      <c r="E86" s="1">
        <f t="shared" ref="E86:M86" si="3">E76</f>
        <v>0.31658565243228687</v>
      </c>
      <c r="F86" s="1">
        <f t="shared" si="3"/>
        <v>0.4748784786484303</v>
      </c>
      <c r="G86" s="1">
        <f t="shared" si="3"/>
        <v>0.63317130486457374</v>
      </c>
      <c r="H86" s="1">
        <f t="shared" si="3"/>
        <v>0.79146413108071711</v>
      </c>
      <c r="I86" s="1">
        <f t="shared" si="3"/>
        <v>0.9497569572968606</v>
      </c>
      <c r="J86" s="1">
        <f t="shared" si="3"/>
        <v>1.1080497835130039</v>
      </c>
      <c r="K86" s="1">
        <f t="shared" si="3"/>
        <v>1.2663426097291475</v>
      </c>
      <c r="L86" s="1">
        <f t="shared" si="3"/>
        <v>1.4246354359452909</v>
      </c>
      <c r="M86" s="1">
        <f t="shared" si="3"/>
        <v>1.5829282621614342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D6:E15"/>
  <sheetViews>
    <sheetView workbookViewId="0">
      <selection activeCell="I18" sqref="I18"/>
    </sheetView>
  </sheetViews>
  <sheetFormatPr baseColWidth="10" defaultRowHeight="16"/>
  <cols>
    <col min="5" max="5" width="13.33203125" customWidth="1"/>
  </cols>
  <sheetData>
    <row r="6" spans="4:5">
      <c r="D6">
        <v>32</v>
      </c>
      <c r="E6" t="s">
        <v>729</v>
      </c>
    </row>
    <row r="7" spans="4:5">
      <c r="D7">
        <v>22.4</v>
      </c>
      <c r="E7" t="s">
        <v>730</v>
      </c>
    </row>
    <row r="8" spans="4:5">
      <c r="D8" s="30">
        <f>D6/D7</f>
        <v>1.4285714285714286</v>
      </c>
      <c r="E8" t="s">
        <v>726</v>
      </c>
    </row>
    <row r="10" spans="4:5">
      <c r="D10">
        <v>1.4291</v>
      </c>
    </row>
    <row r="12" spans="4:5">
      <c r="D12">
        <v>100</v>
      </c>
      <c r="E12" t="s">
        <v>236</v>
      </c>
    </row>
    <row r="13" spans="4:5">
      <c r="D13" s="2">
        <f>D12*D10*1440/1000</f>
        <v>205.79040000000001</v>
      </c>
      <c r="E13" t="s">
        <v>727</v>
      </c>
    </row>
    <row r="15" spans="4:5">
      <c r="D15" s="29">
        <f>1000/D13*D12</f>
        <v>485.93131652399722</v>
      </c>
      <c r="E15" t="s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topLeftCell="A2" workbookViewId="0">
      <selection activeCell="D17" sqref="D17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789</v>
      </c>
    </row>
    <row r="4" spans="2:10">
      <c r="H4" t="s">
        <v>786</v>
      </c>
    </row>
    <row r="5" spans="2:10">
      <c r="B5" t="s">
        <v>737</v>
      </c>
      <c r="C5">
        <v>0.78</v>
      </c>
      <c r="D5">
        <v>0.78</v>
      </c>
      <c r="E5">
        <v>0.78</v>
      </c>
      <c r="H5" t="s">
        <v>752</v>
      </c>
      <c r="I5">
        <v>0.79</v>
      </c>
      <c r="J5" t="s">
        <v>787</v>
      </c>
    </row>
    <row r="6" spans="2:10">
      <c r="B6" t="s">
        <v>738</v>
      </c>
      <c r="C6">
        <v>0.20899999999999999</v>
      </c>
      <c r="D6">
        <v>0.20899999999999999</v>
      </c>
      <c r="E6">
        <v>0.20899999999999999</v>
      </c>
      <c r="F6" s="75">
        <f>C6*F$10</f>
        <v>0.95000000000000007</v>
      </c>
      <c r="H6" t="s">
        <v>753</v>
      </c>
      <c r="I6">
        <v>0.21</v>
      </c>
      <c r="J6" t="s">
        <v>769</v>
      </c>
    </row>
    <row r="7" spans="2:10">
      <c r="B7" t="s">
        <v>739</v>
      </c>
      <c r="C7">
        <v>8.9999999999999993E-3</v>
      </c>
      <c r="D7">
        <v>8.9999999999999993E-3</v>
      </c>
      <c r="E7">
        <v>8.9999999999999993E-3</v>
      </c>
      <c r="F7" s="75">
        <f t="shared" ref="F7:F8" si="0">C7*F$10</f>
        <v>4.0909090909090909E-2</v>
      </c>
    </row>
    <row r="8" spans="2:10">
      <c r="B8" t="s">
        <v>740</v>
      </c>
      <c r="C8">
        <v>2E-3</v>
      </c>
      <c r="D8">
        <v>2E-3</v>
      </c>
      <c r="E8">
        <v>2E-3</v>
      </c>
      <c r="F8" s="75">
        <f t="shared" si="0"/>
        <v>9.0909090909090922E-3</v>
      </c>
      <c r="I8" s="76">
        <f>C6*F6</f>
        <v>0.19855</v>
      </c>
      <c r="J8" t="s">
        <v>770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76">
        <f>I6-I8</f>
        <v>1.1449999999999988E-2</v>
      </c>
      <c r="J9" t="s">
        <v>771</v>
      </c>
    </row>
    <row r="10" spans="2:10">
      <c r="F10" s="1">
        <f>C9/F9</f>
        <v>4.5454545454545459</v>
      </c>
      <c r="G10" t="s">
        <v>756</v>
      </c>
    </row>
    <row r="13" spans="2:10">
      <c r="B13" t="s">
        <v>761</v>
      </c>
      <c r="C13">
        <v>22</v>
      </c>
      <c r="D13">
        <v>22</v>
      </c>
      <c r="E13">
        <v>22</v>
      </c>
      <c r="F13" t="s">
        <v>744</v>
      </c>
      <c r="G13" t="s">
        <v>762</v>
      </c>
    </row>
    <row r="14" spans="2:10">
      <c r="B14" t="s">
        <v>745</v>
      </c>
      <c r="C14">
        <v>0.7</v>
      </c>
      <c r="D14">
        <v>0.7</v>
      </c>
      <c r="E14">
        <v>0.7</v>
      </c>
      <c r="G14" t="s">
        <v>763</v>
      </c>
    </row>
    <row r="15" spans="2:10">
      <c r="B15" t="s">
        <v>746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744</v>
      </c>
      <c r="G15" t="s">
        <v>757</v>
      </c>
    </row>
    <row r="17" spans="2:11">
      <c r="B17" t="s">
        <v>747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748</v>
      </c>
      <c r="C18">
        <f>C15*C17</f>
        <v>27.72</v>
      </c>
      <c r="D18">
        <f>D15*D17</f>
        <v>154</v>
      </c>
      <c r="E18">
        <f>E15*E17</f>
        <v>154</v>
      </c>
      <c r="F18" t="s">
        <v>355</v>
      </c>
      <c r="G18" t="s">
        <v>758</v>
      </c>
    </row>
    <row r="20" spans="2:11">
      <c r="B20" t="s">
        <v>750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751</v>
      </c>
      <c r="C21">
        <v>1</v>
      </c>
      <c r="D21">
        <v>1</v>
      </c>
      <c r="E21">
        <v>1</v>
      </c>
      <c r="G21" t="s">
        <v>759</v>
      </c>
    </row>
    <row r="22" spans="2:11">
      <c r="B22" t="s">
        <v>749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767</v>
      </c>
    </row>
    <row r="23" spans="2:11">
      <c r="B23" t="s">
        <v>764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765</v>
      </c>
      <c r="G23" t="s">
        <v>766</v>
      </c>
    </row>
    <row r="24" spans="2:11">
      <c r="B24" t="s">
        <v>779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355</v>
      </c>
      <c r="G24" t="s">
        <v>785</v>
      </c>
    </row>
    <row r="25" spans="2:11">
      <c r="B25" t="s">
        <v>780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355</v>
      </c>
      <c r="G25" t="s">
        <v>784</v>
      </c>
      <c r="K25" t="s">
        <v>788</v>
      </c>
    </row>
    <row r="26" spans="2:11">
      <c r="C26" s="2"/>
      <c r="D26" s="2"/>
      <c r="E26" s="2"/>
    </row>
    <row r="27" spans="2:11">
      <c r="B27" t="s">
        <v>754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773</v>
      </c>
    </row>
    <row r="28" spans="2:11">
      <c r="B28" t="s">
        <v>755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362</v>
      </c>
      <c r="G28" t="s">
        <v>768</v>
      </c>
    </row>
    <row r="31" spans="2:11">
      <c r="B31" t="s">
        <v>760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772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781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782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5"/>
  <sheetViews>
    <sheetView topLeftCell="A2" workbookViewId="0">
      <selection activeCell="L28" sqref="L28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786</v>
      </c>
    </row>
    <row r="5" spans="2:8">
      <c r="B5" t="s">
        <v>737</v>
      </c>
      <c r="C5">
        <v>0.78</v>
      </c>
      <c r="F5" t="s">
        <v>752</v>
      </c>
      <c r="G5">
        <v>0.79</v>
      </c>
      <c r="H5" t="s">
        <v>787</v>
      </c>
    </row>
    <row r="6" spans="2:8">
      <c r="B6" t="s">
        <v>738</v>
      </c>
      <c r="C6">
        <v>0.20899999999999999</v>
      </c>
      <c r="D6" s="75">
        <f>C6*D$10</f>
        <v>0.95000000000000007</v>
      </c>
      <c r="F6" t="s">
        <v>753</v>
      </c>
      <c r="G6">
        <v>0.21</v>
      </c>
      <c r="H6" t="s">
        <v>769</v>
      </c>
    </row>
    <row r="7" spans="2:8">
      <c r="B7" t="s">
        <v>739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740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770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771</v>
      </c>
    </row>
    <row r="10" spans="2:8">
      <c r="D10" s="1">
        <f>C9/D9</f>
        <v>4.5454545454545459</v>
      </c>
      <c r="E10" t="s">
        <v>756</v>
      </c>
    </row>
    <row r="13" spans="2:8">
      <c r="B13" t="s">
        <v>761</v>
      </c>
      <c r="C13">
        <v>22</v>
      </c>
      <c r="D13" t="s">
        <v>744</v>
      </c>
      <c r="E13" t="s">
        <v>762</v>
      </c>
    </row>
    <row r="14" spans="2:8">
      <c r="B14" t="s">
        <v>745</v>
      </c>
      <c r="C14">
        <v>0.7</v>
      </c>
      <c r="E14" t="s">
        <v>763</v>
      </c>
    </row>
    <row r="15" spans="2:8">
      <c r="B15" t="s">
        <v>746</v>
      </c>
      <c r="C15">
        <f>C13*C14</f>
        <v>15.399999999999999</v>
      </c>
      <c r="D15" t="s">
        <v>744</v>
      </c>
      <c r="E15" t="s">
        <v>757</v>
      </c>
    </row>
    <row r="17" spans="2:9">
      <c r="B17" t="s">
        <v>747</v>
      </c>
      <c r="C17">
        <v>1.8</v>
      </c>
      <c r="D17" t="s">
        <v>5</v>
      </c>
    </row>
    <row r="18" spans="2:9">
      <c r="B18" t="s">
        <v>748</v>
      </c>
      <c r="C18">
        <f>C15*C17</f>
        <v>27.72</v>
      </c>
      <c r="D18" t="s">
        <v>355</v>
      </c>
      <c r="E18" t="s">
        <v>758</v>
      </c>
    </row>
    <row r="20" spans="2:9">
      <c r="B20" t="s">
        <v>750</v>
      </c>
      <c r="C20">
        <v>20</v>
      </c>
      <c r="D20" t="s">
        <v>17</v>
      </c>
    </row>
    <row r="21" spans="2:9">
      <c r="B21" t="s">
        <v>751</v>
      </c>
      <c r="C21">
        <v>0.6</v>
      </c>
      <c r="E21" t="s">
        <v>759</v>
      </c>
    </row>
    <row r="22" spans="2:9">
      <c r="B22" t="s">
        <v>749</v>
      </c>
      <c r="C22" s="2">
        <f>C20/C21/(1-G5)</f>
        <v>158.73015873015876</v>
      </c>
      <c r="D22" t="s">
        <v>17</v>
      </c>
      <c r="E22" t="s">
        <v>767</v>
      </c>
    </row>
    <row r="23" spans="2:9">
      <c r="B23" t="s">
        <v>764</v>
      </c>
      <c r="C23" s="2">
        <f>C22*(C28/60)</f>
        <v>35.088607594936704</v>
      </c>
      <c r="D23" t="s">
        <v>765</v>
      </c>
      <c r="E23" t="s">
        <v>766</v>
      </c>
    </row>
    <row r="24" spans="2:9">
      <c r="B24" t="s">
        <v>779</v>
      </c>
      <c r="C24" s="2">
        <f>C20*(C28/60)</f>
        <v>4.4211645569620242</v>
      </c>
      <c r="D24" t="s">
        <v>355</v>
      </c>
      <c r="E24" t="s">
        <v>785</v>
      </c>
    </row>
    <row r="25" spans="2:9">
      <c r="B25" t="s">
        <v>780</v>
      </c>
      <c r="C25" s="2">
        <f>C24/C21-C24</f>
        <v>2.9474430379746828</v>
      </c>
      <c r="D25" t="s">
        <v>355</v>
      </c>
      <c r="E25" t="s">
        <v>784</v>
      </c>
      <c r="I25" t="s">
        <v>788</v>
      </c>
    </row>
    <row r="26" spans="2:9">
      <c r="C26" s="2"/>
    </row>
    <row r="27" spans="2:9">
      <c r="B27" t="s">
        <v>754</v>
      </c>
      <c r="C27" s="2">
        <f>C22*G5</f>
        <v>125.39682539682543</v>
      </c>
      <c r="D27" t="s">
        <v>17</v>
      </c>
      <c r="E27" t="s">
        <v>773</v>
      </c>
    </row>
    <row r="28" spans="2:9">
      <c r="B28" t="s">
        <v>755</v>
      </c>
      <c r="C28" s="2">
        <f>C18/C27*60</f>
        <v>13.263493670886072</v>
      </c>
      <c r="D28" t="s">
        <v>362</v>
      </c>
      <c r="E28" t="s">
        <v>768</v>
      </c>
    </row>
    <row r="31" spans="2:9">
      <c r="B31" t="s">
        <v>760</v>
      </c>
      <c r="C31" s="2">
        <f>C18/(C28/60)</f>
        <v>125.39682539682543</v>
      </c>
      <c r="D31" t="s">
        <v>17</v>
      </c>
      <c r="E31" t="s">
        <v>772</v>
      </c>
    </row>
    <row r="33" spans="3:4">
      <c r="C33" s="2">
        <f>C23-C18</f>
        <v>7.3686075949367051</v>
      </c>
      <c r="D33" t="s">
        <v>781</v>
      </c>
    </row>
    <row r="34" spans="3:4">
      <c r="C34" s="2">
        <f>C33*C21</f>
        <v>4.4211645569620233</v>
      </c>
      <c r="D34" t="s">
        <v>782</v>
      </c>
    </row>
    <row r="35" spans="3:4">
      <c r="C35" s="2">
        <f>C33-C34</f>
        <v>2.9474430379746819</v>
      </c>
      <c r="D35" t="s">
        <v>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381</v>
      </c>
      <c r="C8">
        <v>200</v>
      </c>
      <c r="D8" t="s">
        <v>376</v>
      </c>
    </row>
    <row r="9" spans="2:4">
      <c r="B9" t="s">
        <v>382</v>
      </c>
      <c r="C9">
        <v>2.5</v>
      </c>
      <c r="D9" t="s">
        <v>377</v>
      </c>
    </row>
    <row r="10" spans="2:4">
      <c r="B10" t="s">
        <v>384</v>
      </c>
      <c r="C10">
        <v>0.55000000000000004</v>
      </c>
      <c r="D10" t="s">
        <v>379</v>
      </c>
    </row>
    <row r="11" spans="2:4">
      <c r="B11" t="s">
        <v>2</v>
      </c>
      <c r="C11">
        <v>400</v>
      </c>
      <c r="D11" t="s">
        <v>379</v>
      </c>
    </row>
    <row r="13" spans="2:4">
      <c r="B13" t="s">
        <v>383</v>
      </c>
      <c r="C13" s="2">
        <f>C8/C9</f>
        <v>80</v>
      </c>
      <c r="D13" t="s">
        <v>378</v>
      </c>
    </row>
    <row r="14" spans="2:4">
      <c r="B14" t="s">
        <v>385</v>
      </c>
      <c r="C14" s="22">
        <f>PI()*C10^2</f>
        <v>0.9503317777109126</v>
      </c>
      <c r="D14" t="s">
        <v>380</v>
      </c>
    </row>
    <row r="15" spans="2:4">
      <c r="B15" t="s">
        <v>386</v>
      </c>
      <c r="C15" s="29">
        <f>(C13*1000/C14)/60</f>
        <v>1403.018782077314</v>
      </c>
      <c r="D15" t="s">
        <v>387</v>
      </c>
    </row>
    <row r="16" spans="2:4">
      <c r="B16" t="s">
        <v>388</v>
      </c>
      <c r="C16" s="1">
        <f>C11/C15</f>
        <v>0.28509953331327381</v>
      </c>
      <c r="D16" t="s">
        <v>362</v>
      </c>
    </row>
    <row r="17" spans="2:5">
      <c r="B17" t="s">
        <v>389</v>
      </c>
      <c r="C17" s="29">
        <f>2*PI()*C10*C11</f>
        <v>1382.3007675795091</v>
      </c>
      <c r="D17" t="s">
        <v>380</v>
      </c>
    </row>
    <row r="19" spans="2:5">
      <c r="B19" t="s">
        <v>393</v>
      </c>
      <c r="C19">
        <f>C9*1.1644</f>
        <v>2.9110000000000005</v>
      </c>
      <c r="D19" t="s">
        <v>4</v>
      </c>
    </row>
    <row r="20" spans="2:5">
      <c r="B20" t="s">
        <v>392</v>
      </c>
      <c r="C20" s="32">
        <v>1.9830000000000002E-5</v>
      </c>
      <c r="D20" t="s">
        <v>395</v>
      </c>
      <c r="E20" s="32"/>
    </row>
    <row r="21" spans="2:5">
      <c r="B21" t="s">
        <v>390</v>
      </c>
      <c r="C21" s="31">
        <f>C20/C19</f>
        <v>6.8120920645826168E-6</v>
      </c>
      <c r="D21" t="s">
        <v>396</v>
      </c>
      <c r="E21" t="s">
        <v>397</v>
      </c>
    </row>
    <row r="22" spans="2:5">
      <c r="B22" t="s">
        <v>355</v>
      </c>
      <c r="C22">
        <f>C10/100</f>
        <v>5.5000000000000005E-3</v>
      </c>
      <c r="D22" t="s">
        <v>394</v>
      </c>
    </row>
    <row r="23" spans="2:5">
      <c r="B23" t="s">
        <v>391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F27" sqref="F27"/>
    </sheetView>
  </sheetViews>
  <sheetFormatPr baseColWidth="10" defaultRowHeight="16"/>
  <sheetData>
    <row r="5" spans="3:4">
      <c r="C5" t="s">
        <v>232</v>
      </c>
    </row>
    <row r="6" spans="3:4">
      <c r="C6" t="s">
        <v>233</v>
      </c>
    </row>
    <row r="7" spans="3:4">
      <c r="C7" t="s">
        <v>234</v>
      </c>
    </row>
    <row r="11" spans="3:4">
      <c r="C11">
        <v>28.317</v>
      </c>
    </row>
    <row r="12" spans="3:4">
      <c r="C12" t="s">
        <v>236</v>
      </c>
      <c r="D12">
        <v>20</v>
      </c>
    </row>
    <row r="13" spans="3:4">
      <c r="C13" t="s">
        <v>235</v>
      </c>
      <c r="D13" s="1">
        <f>D12/C11</f>
        <v>0.70628950806935764</v>
      </c>
    </row>
    <row r="15" spans="3:4">
      <c r="C15" t="s">
        <v>237</v>
      </c>
      <c r="D15">
        <v>200</v>
      </c>
    </row>
    <row r="16" spans="3:4">
      <c r="C16" t="s">
        <v>238</v>
      </c>
      <c r="D16" s="2">
        <f>D13*D15/3</f>
        <v>47.085967204623842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4"/>
  <sheetViews>
    <sheetView topLeftCell="A3" workbookViewId="0">
      <selection activeCell="I20" sqref="I20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3">
      <c r="B2" s="4" t="s">
        <v>23</v>
      </c>
    </row>
    <row r="3" spans="1:13" s="7" customFormat="1" ht="51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</row>
    <row r="4" spans="1:13">
      <c r="B4" s="3" t="s">
        <v>14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</row>
    <row r="5" spans="1:13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</row>
    <row r="6" spans="1:13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</row>
    <row r="7" spans="1:13">
      <c r="A7" s="3" t="s">
        <v>18</v>
      </c>
      <c r="B7" s="3" t="s">
        <v>12</v>
      </c>
      <c r="C7" s="3">
        <v>25</v>
      </c>
      <c r="D7" s="3">
        <v>25</v>
      </c>
      <c r="E7" s="3">
        <v>1</v>
      </c>
      <c r="F7" s="3">
        <v>28</v>
      </c>
      <c r="G7" s="3">
        <v>27</v>
      </c>
      <c r="H7" s="3">
        <v>28</v>
      </c>
      <c r="I7" s="3">
        <v>60</v>
      </c>
      <c r="K7" s="3">
        <v>28</v>
      </c>
      <c r="L7" s="3">
        <v>18</v>
      </c>
      <c r="M7" s="3">
        <v>100</v>
      </c>
    </row>
    <row r="8" spans="1:13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9</v>
      </c>
      <c r="H8" s="3">
        <v>27</v>
      </c>
      <c r="I8" s="3">
        <v>5</v>
      </c>
      <c r="K8" s="3">
        <v>0</v>
      </c>
      <c r="L8" s="3">
        <v>0</v>
      </c>
      <c r="M8" s="3">
        <v>28</v>
      </c>
    </row>
    <row r="9" spans="1:13">
      <c r="A9" s="3"/>
      <c r="F9" s="3"/>
      <c r="G9" s="3"/>
      <c r="H9" s="3"/>
      <c r="I9" s="3"/>
      <c r="K9" s="3"/>
      <c r="L9" s="3"/>
      <c r="M9" s="3"/>
    </row>
    <row r="10" spans="1:13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136.69918375937834</v>
      </c>
      <c r="H10" s="5">
        <f t="shared" ref="H10:I10" si="1">962*H4*SQRT(((H7+14.7)^2-(H8+14.7)^2)/(H5*(H6+460)))</f>
        <v>73.205213847627235</v>
      </c>
      <c r="I10" s="5">
        <f t="shared" si="1"/>
        <v>1722.5006201494077</v>
      </c>
      <c r="K10" s="5">
        <f>962*K4*SQRT(((K7+14.7)^2-(K8+14.7)^2)/(K5*(K6+460)))</f>
        <v>301.53977345316935</v>
      </c>
      <c r="L10" s="5">
        <f>962*L4*SQRT(((L7+14.7)^2-(L8+14.7)^2)/(L5*(L6+460)))</f>
        <v>305.14240813968001</v>
      </c>
      <c r="M10" s="5">
        <f t="shared" ref="M10" si="2">962*M4*SQRT(((M7+14.7)^2-(M8+14.7)^2)/(M5*(M6+460)))</f>
        <v>444.84196394963237</v>
      </c>
    </row>
    <row r="11" spans="1:13">
      <c r="A11" s="3" t="s">
        <v>15</v>
      </c>
      <c r="B11" s="3" t="s">
        <v>16</v>
      </c>
      <c r="C11" s="5">
        <f t="shared" ref="C11" si="3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140.92626320549149</v>
      </c>
      <c r="H11" s="5">
        <f t="shared" ref="H11:I11" si="4">H4*(816*(H7+14.7)/SQRT(H5*(H6+460)))</f>
        <v>288.61157980213369</v>
      </c>
      <c r="I11" s="5">
        <f t="shared" si="4"/>
        <v>1514.7038649568651</v>
      </c>
      <c r="K11" s="5">
        <f>K4*(816*(K7+14.7)/SQRT(K5*(K6+460)))</f>
        <v>272.42854072275924</v>
      </c>
      <c r="L11" s="5">
        <f>L4*(816*(L7+14.7)/SQRT(L5*(L6+460)))</f>
        <v>289.76103570238831</v>
      </c>
      <c r="M11" s="5">
        <f t="shared" ref="M11" si="5">M4*(816*(M7+14.7)/SQRT(M5*(M6+460)))</f>
        <v>406.55156935858031</v>
      </c>
    </row>
    <row r="12" spans="1:13">
      <c r="A12" s="3"/>
      <c r="F12" s="3"/>
      <c r="G12" s="3"/>
      <c r="H12" s="3"/>
      <c r="I12" s="3"/>
      <c r="K12" s="3"/>
      <c r="L12" s="3"/>
      <c r="M12" s="3"/>
    </row>
    <row r="13" spans="1:13">
      <c r="A13" s="3" t="s">
        <v>17</v>
      </c>
      <c r="B13" s="3" t="s">
        <v>19</v>
      </c>
      <c r="C13" s="5">
        <f t="shared" ref="C13" si="6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64.51472411129275</v>
      </c>
      <c r="H13" s="5">
        <f t="shared" ref="H13:I13" si="7">MIN(H10*28.3168/60, H11*28.3168/60)</f>
        <v>34.54895665800818</v>
      </c>
      <c r="I13" s="5">
        <f t="shared" si="7"/>
        <v>714.85944005350927</v>
      </c>
      <c r="K13" s="5">
        <f>MIN(K10*28.3168/60, K11*28.3168/60)</f>
        <v>128.57174169897047</v>
      </c>
      <c r="L13" s="5">
        <f>MIN(L10*28.3168/60, L11*28.3168/60)</f>
        <v>136.75175492962316</v>
      </c>
      <c r="M13" s="5">
        <f t="shared" ref="M13" si="8">MIN(M10*28.3168/60, M11*28.3168/60)</f>
        <v>191.87065798688411</v>
      </c>
    </row>
    <row r="14" spans="1:13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9">MIN(E10/60, E11/60)</f>
        <v>2.303954664124193</v>
      </c>
      <c r="F14" s="5">
        <f t="shared" si="9"/>
        <v>0.77168984939867924</v>
      </c>
      <c r="G14" s="5">
        <f t="shared" si="9"/>
        <v>2.2783197293229724</v>
      </c>
      <c r="H14" s="5">
        <f t="shared" si="9"/>
        <v>1.220086897460454</v>
      </c>
      <c r="I14" s="5">
        <f t="shared" si="9"/>
        <v>25.245064415947752</v>
      </c>
      <c r="K14" s="5">
        <f t="shared" si="9"/>
        <v>4.5404756787126539</v>
      </c>
      <c r="L14" s="5">
        <f t="shared" si="9"/>
        <v>4.8293505950398048</v>
      </c>
      <c r="M14" s="5">
        <f t="shared" si="9"/>
        <v>6.7758594893096715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C24" sqref="C24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8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8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8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8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8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8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Volume</vt:lpstr>
      <vt:lpstr>Model-VPSA</vt:lpstr>
      <vt:lpstr>Model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  <vt:lpstr>Compressor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2021-10-10T18:53:53Z</dcterms:modified>
</cp:coreProperties>
</file>