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Altium\Projects\RS232ToWifi\Project\V1\RS232TOWIFI\RS232ToWifi\BOM\"/>
    </mc:Choice>
  </mc:AlternateContent>
  <xr:revisionPtr revIDLastSave="0" documentId="13_ncr:1_{E7367D6A-D1A6-4053-94B3-FFFC9FA6CB01}" xr6:coauthVersionLast="47" xr6:coauthVersionMax="47" xr10:uidLastSave="{00000000-0000-0000-0000-000000000000}"/>
  <bookViews>
    <workbookView xWindow="-120" yWindow="480" windowWidth="29040" windowHeight="15840" activeTab="2" xr2:uid="{00000000-000D-0000-FFFF-FFFF00000000}"/>
  </bookViews>
  <sheets>
    <sheet name="BOM Report" sheetId="1" r:id="rId1"/>
    <sheet name="Project Information" sheetId="2" r:id="rId2"/>
    <sheet name="BOM Cos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4" l="1"/>
  <c r="R26" i="4" s="1"/>
  <c r="R24" i="4"/>
  <c r="Q24" i="4"/>
  <c r="R23" i="4"/>
  <c r="R22" i="4"/>
  <c r="Q22" i="4"/>
  <c r="Q20" i="4"/>
  <c r="R20" i="4" s="1"/>
  <c r="R18" i="4"/>
  <c r="Q18" i="4"/>
  <c r="Q19" i="4"/>
  <c r="R19" i="4" s="1"/>
  <c r="Q21" i="4"/>
  <c r="R21" i="4" s="1"/>
  <c r="Q17" i="4"/>
  <c r="R17" i="4" s="1"/>
  <c r="Q16" i="4"/>
  <c r="R16" i="4" s="1"/>
  <c r="R15" i="4"/>
  <c r="Q15" i="4"/>
  <c r="R14" i="4"/>
  <c r="Q14" i="4"/>
  <c r="Q10" i="4"/>
  <c r="R10" i="4" s="1"/>
  <c r="Q9" i="4"/>
  <c r="R9" i="4" s="1"/>
  <c r="Q8" i="4"/>
  <c r="R8" i="4" s="1"/>
  <c r="Q7" i="4"/>
  <c r="R7" i="4" s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7" i="4"/>
  <c r="A23" i="4" l="1"/>
  <c r="C23" i="4"/>
  <c r="A24" i="4"/>
  <c r="C24" i="4"/>
  <c r="A25" i="4"/>
  <c r="C25" i="4"/>
  <c r="A26" i="4"/>
  <c r="C26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2" i="4"/>
  <c r="A7" i="4"/>
  <c r="A15" i="1"/>
  <c r="A14" i="1"/>
  <c r="H34" i="1"/>
  <c r="G23" i="4" l="1"/>
  <c r="S23" i="4" s="1"/>
  <c r="F23" i="4"/>
  <c r="G25" i="4"/>
  <c r="S25" i="4" s="1"/>
  <c r="E26" i="4"/>
  <c r="E23" i="4"/>
  <c r="H23" i="4"/>
  <c r="G26" i="4"/>
  <c r="G24" i="4"/>
  <c r="F26" i="4"/>
  <c r="F25" i="4"/>
  <c r="F24" i="4"/>
  <c r="E25" i="4"/>
  <c r="E24" i="4"/>
  <c r="D26" i="4"/>
  <c r="D25" i="4"/>
  <c r="D24" i="4"/>
  <c r="D23" i="4"/>
  <c r="D18" i="4"/>
  <c r="C18" i="4"/>
  <c r="E18" i="4"/>
  <c r="F18" i="4"/>
  <c r="G18" i="4"/>
  <c r="D15" i="4"/>
  <c r="C15" i="4"/>
  <c r="E15" i="4"/>
  <c r="F15" i="4"/>
  <c r="G15" i="4"/>
  <c r="S15" i="4" s="1"/>
  <c r="H15" i="4"/>
  <c r="D21" i="4"/>
  <c r="E21" i="4"/>
  <c r="C21" i="4"/>
  <c r="F21" i="4"/>
  <c r="G21" i="4"/>
  <c r="D13" i="4"/>
  <c r="E13" i="4"/>
  <c r="C13" i="4"/>
  <c r="F13" i="4"/>
  <c r="G13" i="4"/>
  <c r="S13" i="4" s="1"/>
  <c r="H13" i="4"/>
  <c r="D20" i="4"/>
  <c r="C20" i="4"/>
  <c r="E20" i="4"/>
  <c r="F20" i="4"/>
  <c r="G20" i="4"/>
  <c r="S20" i="4" s="1"/>
  <c r="E12" i="4"/>
  <c r="C12" i="4"/>
  <c r="D12" i="4"/>
  <c r="F12" i="4"/>
  <c r="G12" i="4"/>
  <c r="S12" i="4" s="1"/>
  <c r="H12" i="4"/>
  <c r="E19" i="4"/>
  <c r="C19" i="4"/>
  <c r="D19" i="4"/>
  <c r="F19" i="4"/>
  <c r="G19" i="4"/>
  <c r="D11" i="4"/>
  <c r="C11" i="4"/>
  <c r="E11" i="4"/>
  <c r="F11" i="4"/>
  <c r="G11" i="4"/>
  <c r="S11" i="4" s="1"/>
  <c r="H11" i="4"/>
  <c r="C14" i="4"/>
  <c r="D14" i="4"/>
  <c r="E14" i="4"/>
  <c r="F14" i="4"/>
  <c r="G14" i="4"/>
  <c r="S14" i="4" s="1"/>
  <c r="H14" i="4"/>
  <c r="C10" i="4"/>
  <c r="E10" i="4"/>
  <c r="D10" i="4"/>
  <c r="F10" i="4"/>
  <c r="G10" i="4"/>
  <c r="H10" i="4" s="1"/>
  <c r="C17" i="4"/>
  <c r="D17" i="4"/>
  <c r="E17" i="4"/>
  <c r="F17" i="4"/>
  <c r="G17" i="4"/>
  <c r="E9" i="4"/>
  <c r="C9" i="4"/>
  <c r="D9" i="4"/>
  <c r="F9" i="4"/>
  <c r="G9" i="4"/>
  <c r="H9" i="4" s="1"/>
  <c r="C22" i="4"/>
  <c r="D22" i="4"/>
  <c r="E22" i="4"/>
  <c r="F22" i="4"/>
  <c r="G22" i="4"/>
  <c r="S22" i="4" s="1"/>
  <c r="D16" i="4"/>
  <c r="E16" i="4"/>
  <c r="C16" i="4"/>
  <c r="F16" i="4"/>
  <c r="G16" i="4"/>
  <c r="S16" i="4" s="1"/>
  <c r="D8" i="4"/>
  <c r="C8" i="4"/>
  <c r="E8" i="4"/>
  <c r="F8" i="4"/>
  <c r="G8" i="4"/>
  <c r="H8" i="4" s="1"/>
  <c r="G7" i="4"/>
  <c r="S7" i="4" s="1"/>
  <c r="D10" i="1"/>
  <c r="C10" i="1"/>
  <c r="H17" i="4" l="1"/>
  <c r="S17" i="4"/>
  <c r="H20" i="4"/>
  <c r="H26" i="4"/>
  <c r="S26" i="4"/>
  <c r="R27" i="4"/>
  <c r="H18" i="4"/>
  <c r="S18" i="4"/>
  <c r="H22" i="4"/>
  <c r="H25" i="4"/>
  <c r="H21" i="4"/>
  <c r="S21" i="4"/>
  <c r="H16" i="4"/>
  <c r="H19" i="4"/>
  <c r="S19" i="4"/>
  <c r="H24" i="4"/>
  <c r="S24" i="4"/>
  <c r="S8" i="4"/>
  <c r="S9" i="4"/>
  <c r="C7" i="4"/>
  <c r="F7" i="4"/>
  <c r="D7" i="4"/>
  <c r="E7" i="4"/>
  <c r="S10" i="4"/>
  <c r="H7" i="4"/>
</calcChain>
</file>

<file path=xl/sharedStrings.xml><?xml version="1.0" encoding="utf-8"?>
<sst xmlns="http://schemas.openxmlformats.org/spreadsheetml/2006/main" count="226" uniqueCount="169">
  <si>
    <t>Approved</t>
  </si>
  <si>
    <t>Notes</t>
  </si>
  <si>
    <t>Creation Date:</t>
  </si>
  <si>
    <t>Print Date:</t>
  </si>
  <si>
    <t xml:space="preserve"> </t>
  </si>
  <si>
    <t>Source Data From: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</si>
  <si>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</si>
  <si>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</si>
  <si>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</si>
  <si>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</si>
  <si>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</si>
  <si>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</si>
  <si>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</si>
  <si>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</si>
  <si>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</si>
  <si>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</si>
  <si>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</si>
  <si>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</si>
  <si>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</si>
  <si>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</si>
  <si>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</si>
  <si>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</si>
  <si>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Revision:</t>
  </si>
  <si>
    <t>Document Revision</t>
  </si>
  <si>
    <t>Discription</t>
  </si>
  <si>
    <t>Value</t>
  </si>
  <si>
    <t>Footprint</t>
  </si>
  <si>
    <t>Designator</t>
  </si>
  <si>
    <t>Quantity</t>
  </si>
  <si>
    <t>Number of PCB</t>
  </si>
  <si>
    <t>Nec. Qua.</t>
  </si>
  <si>
    <t>MOQ</t>
  </si>
  <si>
    <t>Man. Ref.</t>
  </si>
  <si>
    <t>Sup. Ref</t>
  </si>
  <si>
    <t>Cost</t>
  </si>
  <si>
    <t>Qua. Buy</t>
  </si>
  <si>
    <t>Uni. Price</t>
  </si>
  <si>
    <t>Buy?</t>
  </si>
  <si>
    <t>Total</t>
  </si>
  <si>
    <t>Supplier 1</t>
  </si>
  <si>
    <t>Box to project</t>
  </si>
  <si>
    <t>1B</t>
  </si>
  <si>
    <t>ID</t>
  </si>
  <si>
    <t>Res</t>
  </si>
  <si>
    <t>0603</t>
  </si>
  <si>
    <t>Number of PCB's</t>
  </si>
  <si>
    <t>30/10/2021</t>
  </si>
  <si>
    <t>RS232ToWifi.PrjPcb</t>
  </si>
  <si>
    <t>1C</t>
  </si>
  <si>
    <t>&lt;Parameter P_Box not found&gt;</t>
  </si>
  <si>
    <t>07:25:21</t>
  </si>
  <si>
    <t>Rs232 To Wifi</t>
  </si>
  <si>
    <t>Comment</t>
  </si>
  <si>
    <t>Ceramic Capacitor</t>
  </si>
  <si>
    <t>Eletrolitic Capacitor</t>
  </si>
  <si>
    <t>Tantalum capacitor</t>
  </si>
  <si>
    <t>DNP</t>
  </si>
  <si>
    <t>Conector</t>
  </si>
  <si>
    <t>Led</t>
  </si>
  <si>
    <t>Swich</t>
  </si>
  <si>
    <t>HLK-PM01</t>
  </si>
  <si>
    <t>LDO</t>
  </si>
  <si>
    <t>ESP8266-12E/ESP-12E</t>
  </si>
  <si>
    <t>RS232 Serie CI</t>
  </si>
  <si>
    <t>Description</t>
  </si>
  <si>
    <t>Condensador Tantalum</t>
  </si>
  <si>
    <t>Diode</t>
  </si>
  <si>
    <t>Zener Diode</t>
  </si>
  <si>
    <t>Fusivel SMD LITTELFUSE  0154</t>
  </si>
  <si>
    <t>Conector 2 pins</t>
  </si>
  <si>
    <t>Conector 4 pins</t>
  </si>
  <si>
    <t>Conector 3 pins</t>
  </si>
  <si>
    <t>6x3.5mm SMD WS-TASV, height 4.3 mm, 160 gf</t>
  </si>
  <si>
    <t>HI-LINK Ultra-compact power module HLK-PM01&lt;p&gt; &lt;ul&gt; &lt;li&gt;Meet UL, CE requirements&lt;/li&gt; &lt;li&gt;Ultra-thin, ultra-small&lt;/li&gt; &lt;li&gt;All voltage input (AC: 90 ~ 264V)&lt;/li&gt; &lt;li&gt;Low ripple and low noise&lt;/li&gt; &lt;li&gt;Output overload and short circuit protection&lt;/li&gt; &lt;li&gt;High efficiency, high power density&lt;/li&gt; &lt;li&gt;The product is designed to meet the requirements of EMC and Safety Test&lt;/li&gt; &lt;li&gt;Low power consumption, environmental protection, no-load loss &lt;0.1W&lt;/li&gt; &lt;li&gt;100% load aging and testing&lt;/li&gt;</t>
  </si>
  <si>
    <t>ST, LF33ABDT-TR, Fixed LDO Voltage Regulator, 3V to 16V, 400mV Dropout, 3.3Vout, 0.5Aout, TO-252-3</t>
  </si>
  <si>
    <t>This WiFi module has a 32-bit MCU micro and clock speeds supporting 80 MHz or 160 MHz. Supports the RTOS and integrated Wi-Fi MAC/BB/RF/PA/LNA, and has an on-board antenna.</t>
  </si>
  <si>
    <t>3-V to 5.5-V Single-Channel RS-232 Line Driver / Receiver with ±15-kV ESD Protection, -40 to 85 degC, 16-Pin TSSOP (PW), Green (RoHS &amp; no Sb/Br)</t>
  </si>
  <si>
    <t>0.1uF</t>
  </si>
  <si>
    <t>1000uF</t>
  </si>
  <si>
    <t>2.2uF</t>
  </si>
  <si>
    <t>1uF</t>
  </si>
  <si>
    <t>BYG21M</t>
  </si>
  <si>
    <t>1N</t>
  </si>
  <si>
    <t>0154.V24.0.315A</t>
  </si>
  <si>
    <t/>
  </si>
  <si>
    <t>4</t>
  </si>
  <si>
    <t>3</t>
  </si>
  <si>
    <t>470R</t>
  </si>
  <si>
    <t>0R1</t>
  </si>
  <si>
    <t>10k</t>
  </si>
  <si>
    <t>0R0</t>
  </si>
  <si>
    <t>434121043816</t>
  </si>
  <si>
    <t>LF33ABDT-TR</t>
  </si>
  <si>
    <t>MAX3221IPW</t>
  </si>
  <si>
    <t>notas</t>
  </si>
  <si>
    <t>MCVVT6R3M102FB3L</t>
  </si>
  <si>
    <t>TMCJ1C105MTRF</t>
  </si>
  <si>
    <t>24Vin</t>
  </si>
  <si>
    <t>AC</t>
  </si>
  <si>
    <t>C1, C2, C3, C4, C5, C6, C7</t>
  </si>
  <si>
    <t>CE1</t>
  </si>
  <si>
    <t>CT1</t>
  </si>
  <si>
    <t>CT2</t>
  </si>
  <si>
    <t>D1</t>
  </si>
  <si>
    <t>D2</t>
  </si>
  <si>
    <t>F1</t>
  </si>
  <si>
    <t>J1</t>
  </si>
  <si>
    <t>J2</t>
  </si>
  <si>
    <t>J3</t>
  </si>
  <si>
    <t>Led1</t>
  </si>
  <si>
    <t>R1, R3, R4</t>
  </si>
  <si>
    <t>R2</t>
  </si>
  <si>
    <t>R5, R6, R8, R9, R10, R11</t>
  </si>
  <si>
    <t>R7</t>
  </si>
  <si>
    <t>S1, S2</t>
  </si>
  <si>
    <t>U1</t>
  </si>
  <si>
    <t>U2</t>
  </si>
  <si>
    <t>U3</t>
  </si>
  <si>
    <t>U4</t>
  </si>
  <si>
    <t>0603C</t>
  </si>
  <si>
    <t>WCAP-AS5H_8x10.5</t>
  </si>
  <si>
    <t>1206T</t>
  </si>
  <si>
    <t>0603T</t>
  </si>
  <si>
    <t>DO-214AC</t>
  </si>
  <si>
    <t>1N5359BG</t>
  </si>
  <si>
    <t>Fuseholder154</t>
  </si>
  <si>
    <t>691313510002</t>
  </si>
  <si>
    <t>61300411121</t>
  </si>
  <si>
    <t>61300311121</t>
  </si>
  <si>
    <t>LED_5MM_RED_1C-2A</t>
  </si>
  <si>
    <t>0805</t>
  </si>
  <si>
    <t>HLK-PM01/ISE</t>
  </si>
  <si>
    <t>DPAK-TO-252-3, CASE369C</t>
  </si>
  <si>
    <t>XCVR_ESP8266-12E/ESP-12E</t>
  </si>
  <si>
    <t>TI-PW16_M</t>
  </si>
  <si>
    <t>C:\Users\Utilizador\Documents\Altium\Projects\RS232ToWifi\Project\V1\RS232TOWIFI\RS232ToWifi\RS232ToWifi.PrjPcb</t>
  </si>
  <si>
    <t>None</t>
  </si>
  <si>
    <t>&lt;Parameter Title not found&gt;</t>
  </si>
  <si>
    <t>34</t>
  </si>
  <si>
    <t>30/10/2021 07:25:21</t>
  </si>
  <si>
    <t>BOM_PartType</t>
  </si>
  <si>
    <t>BOM</t>
  </si>
  <si>
    <t>CC0603KRX7R9BB104</t>
  </si>
  <si>
    <t>603-CC603KRX7R9BB104</t>
  </si>
  <si>
    <t>EEE-FK0J102GV</t>
  </si>
  <si>
    <t>667-EEE-FK0J102GV</t>
  </si>
  <si>
    <t>TAJS225M010RNJ</t>
  </si>
  <si>
    <t>581-TAJS225M010RNJ</t>
  </si>
  <si>
    <t>TCM1E105M8R</t>
  </si>
  <si>
    <t>755-TCM1E105M8R</t>
  </si>
  <si>
    <t>TBP01R1-508-02BE</t>
  </si>
  <si>
    <t>490-TBP01R1-508-02BE</t>
  </si>
  <si>
    <t>710-61300411121</t>
  </si>
  <si>
    <t>710-61300311121</t>
  </si>
  <si>
    <t>LTL-307E</t>
  </si>
  <si>
    <t>859-LTL-307E</t>
  </si>
  <si>
    <t>SFR10EZPJ000</t>
  </si>
  <si>
    <t>755-SFR10EZPJ000</t>
  </si>
  <si>
    <t>710-560050316001</t>
  </si>
  <si>
    <t>CRCW0603470RFKEAC</t>
  </si>
  <si>
    <t>71-CRCW0603470RFKEAC</t>
  </si>
  <si>
    <t>CRCW060310K0JNEBC</t>
  </si>
  <si>
    <t>71-CRCW060310K0JNEBC</t>
  </si>
  <si>
    <t>710-434121043816</t>
  </si>
  <si>
    <t>AliExpress</t>
  </si>
  <si>
    <t>BD433M5FP-CE2</t>
  </si>
  <si>
    <t>755-BD433M5FP-CE2</t>
  </si>
  <si>
    <t>595-MAX3221IPW</t>
  </si>
  <si>
    <t>ESP8266-12E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</si>
</sst>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0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6" xfId="0" applyNumberFormat="1" applyBorder="1" applyAlignment="1">
      <alignment horizontal="left"/>
    </xf>
    <xf numFmtId="165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2" borderId="19" xfId="0" applyNumberFormat="1" applyFont="1" applyFill="1" applyBorder="1" applyAlignment="1">
      <alignment vertical="top"/>
    </xf>
    <xf numFmtId="1" fontId="0" fillId="2" borderId="20" xfId="0" applyNumberFormat="1" applyFill="1" applyBorder="1" applyAlignment="1">
      <alignment vertical="top"/>
    </xf>
    <xf numFmtId="0" fontId="3" fillId="3" borderId="2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0" fillId="2" borderId="26" xfId="0" applyFill="1" applyBorder="1" applyAlignment="1"/>
    <xf numFmtId="0" fontId="0" fillId="2" borderId="27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6" xfId="0" applyFont="1" applyBorder="1" applyAlignment="1">
      <alignment horizontal="left"/>
    </xf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2" fillId="3" borderId="11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2" borderId="14" xfId="0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Font="1"/>
    <xf numFmtId="0" fontId="5" fillId="0" borderId="1" xfId="0" quotePrefix="1" applyFont="1" applyBorder="1" applyAlignment="1">
      <alignment vertical="top"/>
    </xf>
    <xf numFmtId="0" fontId="5" fillId="6" borderId="34" xfId="0" applyFont="1" applyFill="1" applyBorder="1"/>
    <xf numFmtId="0" fontId="5" fillId="6" borderId="12" xfId="0" applyFont="1" applyFill="1" applyBorder="1"/>
    <xf numFmtId="0" fontId="5" fillId="0" borderId="0" xfId="0" applyFont="1" applyAlignment="1">
      <alignment horizontal="left" vertical="top"/>
    </xf>
    <xf numFmtId="0" fontId="0" fillId="2" borderId="27" xfId="0" applyFill="1" applyBorder="1" applyAlignment="1"/>
    <xf numFmtId="0" fontId="8" fillId="0" borderId="0" xfId="0" applyFont="1" applyBorder="1" applyAlignment="1">
      <alignment vertical="center"/>
    </xf>
    <xf numFmtId="14" fontId="0" fillId="0" borderId="14" xfId="0" applyNumberFormat="1" applyBorder="1" applyAlignment="1">
      <alignment vertical="top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5" xfId="0" quotePrefix="1" applyFont="1" applyFill="1" applyBorder="1" applyAlignment="1">
      <alignment vertical="center"/>
    </xf>
    <xf numFmtId="0" fontId="3" fillId="3" borderId="21" xfId="0" quotePrefix="1" applyFont="1" applyFill="1" applyBorder="1" applyAlignment="1">
      <alignment vertical="center"/>
    </xf>
    <xf numFmtId="0" fontId="3" fillId="3" borderId="21" xfId="0" quotePrefix="1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top"/>
    </xf>
    <xf numFmtId="0" fontId="5" fillId="0" borderId="32" xfId="0" quotePrefix="1" applyFont="1" applyBorder="1" applyAlignment="1">
      <alignment vertical="top" wrapText="1"/>
    </xf>
    <xf numFmtId="0" fontId="5" fillId="0" borderId="22" xfId="0" quotePrefix="1" applyFont="1" applyBorder="1" applyAlignment="1">
      <alignment horizontal="left" vertical="top" wrapText="1"/>
    </xf>
    <xf numFmtId="0" fontId="3" fillId="3" borderId="20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5" fillId="5" borderId="33" xfId="0" quotePrefix="1" applyFont="1" applyFill="1" applyBorder="1"/>
    <xf numFmtId="0" fontId="5" fillId="5" borderId="8" xfId="0" quotePrefix="1" applyFont="1" applyFill="1" applyBorder="1"/>
    <xf numFmtId="0" fontId="5" fillId="0" borderId="0" xfId="0" applyFont="1" applyAlignment="1">
      <alignment horizontal="center"/>
    </xf>
    <xf numFmtId="1" fontId="5" fillId="0" borderId="0" xfId="0" applyNumberFormat="1" applyFont="1"/>
    <xf numFmtId="1" fontId="0" fillId="0" borderId="0" xfId="0" applyNumberFormat="1"/>
    <xf numFmtId="0" fontId="10" fillId="0" borderId="0" xfId="0" applyFont="1"/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647A702A-4E3A-42D5-AC41-5F39E61733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"/>
  <sheetViews>
    <sheetView showGridLines="0" zoomScaleNormal="100" workbookViewId="0">
      <selection activeCell="D8" sqref="D8"/>
    </sheetView>
  </sheetViews>
  <sheetFormatPr defaultRowHeight="12.75" x14ac:dyDescent="0.2"/>
  <cols>
    <col min="1" max="2" width="12" style="6" customWidth="1"/>
    <col min="3" max="5" width="14.42578125" style="17" customWidth="1"/>
    <col min="6" max="6" width="35.85546875" style="6" customWidth="1"/>
    <col min="7" max="7" width="15.42578125" style="6" bestFit="1" customWidth="1"/>
    <col min="8" max="8" width="15" style="6" bestFit="1" customWidth="1"/>
    <col min="9" max="16384" width="9.140625" style="6"/>
  </cols>
  <sheetData>
    <row r="1" spans="1:9" ht="13.5" thickBot="1" x14ac:dyDescent="0.25">
      <c r="A1" s="48"/>
      <c r="B1" s="90"/>
      <c r="C1" s="49"/>
      <c r="D1" s="49"/>
      <c r="E1" s="81"/>
      <c r="F1" s="50"/>
      <c r="G1" s="50"/>
      <c r="H1" s="51"/>
      <c r="I1" s="2"/>
    </row>
    <row r="2" spans="1:9" ht="37.5" customHeight="1" thickBot="1" x14ac:dyDescent="0.25">
      <c r="A2" s="39" t="s">
        <v>21</v>
      </c>
      <c r="B2" s="91"/>
      <c r="C2" s="34"/>
      <c r="D2" s="31"/>
      <c r="E2" s="34"/>
      <c r="F2" s="99" t="s">
        <v>51</v>
      </c>
      <c r="G2" s="7"/>
      <c r="H2" s="8"/>
      <c r="I2" s="2"/>
    </row>
    <row r="3" spans="1:9" ht="23.25" customHeight="1" x14ac:dyDescent="0.2">
      <c r="A3" s="9" t="s">
        <v>5</v>
      </c>
      <c r="B3" s="70"/>
      <c r="C3" s="34"/>
      <c r="D3" s="96" t="s">
        <v>47</v>
      </c>
      <c r="E3" s="69"/>
      <c r="F3" s="70"/>
      <c r="G3" s="5"/>
      <c r="H3" s="10"/>
      <c r="I3" s="2"/>
    </row>
    <row r="4" spans="1:9" ht="17.25" customHeight="1" x14ac:dyDescent="0.2">
      <c r="A4" s="9" t="s">
        <v>20</v>
      </c>
      <c r="B4" s="70"/>
      <c r="C4" s="34"/>
      <c r="D4" s="97" t="s">
        <v>47</v>
      </c>
      <c r="E4" s="71"/>
      <c r="F4" s="72"/>
      <c r="G4" s="5"/>
      <c r="H4" s="10"/>
      <c r="I4" s="2"/>
    </row>
    <row r="5" spans="1:9" ht="17.25" customHeight="1" x14ac:dyDescent="0.2">
      <c r="A5" s="9" t="s">
        <v>22</v>
      </c>
      <c r="B5" s="70"/>
      <c r="C5" s="34"/>
      <c r="D5" s="98" t="s">
        <v>48</v>
      </c>
      <c r="E5" s="66"/>
      <c r="F5" s="4"/>
      <c r="G5" s="5"/>
      <c r="H5" s="10"/>
      <c r="I5" s="2"/>
    </row>
    <row r="6" spans="1:9" ht="17.25" customHeight="1" x14ac:dyDescent="0.2">
      <c r="A6" s="9" t="s">
        <v>40</v>
      </c>
      <c r="B6" s="70"/>
      <c r="C6" s="34"/>
      <c r="D6" s="98" t="s">
        <v>49</v>
      </c>
      <c r="E6" s="66"/>
      <c r="F6" s="4"/>
      <c r="G6" s="5"/>
      <c r="H6" s="10"/>
      <c r="I6" s="2"/>
    </row>
    <row r="7" spans="1:9" ht="17.25" customHeight="1" x14ac:dyDescent="0.2">
      <c r="A7" s="9" t="s">
        <v>45</v>
      </c>
      <c r="B7" s="70"/>
      <c r="C7" s="34"/>
      <c r="D7" s="66">
        <v>5</v>
      </c>
      <c r="E7" s="66"/>
      <c r="F7" s="4"/>
      <c r="G7" s="5"/>
      <c r="H7" s="10"/>
      <c r="I7" s="2"/>
    </row>
    <row r="8" spans="1:9" x14ac:dyDescent="0.2">
      <c r="A8" s="65"/>
      <c r="B8" s="67"/>
      <c r="C8" s="66"/>
      <c r="D8" s="32"/>
      <c r="E8" s="32"/>
      <c r="F8" s="4"/>
      <c r="G8" s="67"/>
      <c r="H8" s="68"/>
      <c r="I8" s="2"/>
    </row>
    <row r="9" spans="1:9" ht="15.75" customHeight="1" x14ac:dyDescent="0.2">
      <c r="A9" s="11" t="s">
        <v>2</v>
      </c>
      <c r="B9" s="12"/>
      <c r="C9" s="95" t="s">
        <v>46</v>
      </c>
      <c r="D9" s="95" t="s">
        <v>50</v>
      </c>
      <c r="E9" s="34"/>
      <c r="F9" s="12"/>
      <c r="G9" s="5"/>
      <c r="H9" s="10"/>
      <c r="I9" s="1"/>
    </row>
    <row r="10" spans="1:9" ht="15.75" customHeight="1" x14ac:dyDescent="0.2">
      <c r="A10" s="3" t="s">
        <v>3</v>
      </c>
      <c r="B10" s="5"/>
      <c r="C10" s="13">
        <f ca="1">TODAY()</f>
        <v>44499</v>
      </c>
      <c r="D10" s="14">
        <f ca="1">NOW()</f>
        <v>44499.314257523147</v>
      </c>
      <c r="E10" s="82"/>
      <c r="F10" s="12"/>
      <c r="G10" s="5"/>
      <c r="H10" s="10"/>
      <c r="I10" s="1"/>
    </row>
    <row r="11" spans="1:9" ht="15.75" customHeight="1" x14ac:dyDescent="0.2">
      <c r="A11" s="11"/>
      <c r="B11" s="12"/>
      <c r="C11" s="33"/>
      <c r="D11" s="33"/>
      <c r="E11" s="83"/>
      <c r="F11" s="12"/>
      <c r="G11" s="5"/>
      <c r="H11" s="10"/>
      <c r="I11" s="2"/>
    </row>
    <row r="12" spans="1:9" ht="15.75" customHeight="1" x14ac:dyDescent="0.2">
      <c r="A12" s="3"/>
      <c r="B12" s="5"/>
      <c r="C12" s="34"/>
      <c r="D12" s="34"/>
      <c r="E12" s="34"/>
      <c r="F12" s="5"/>
      <c r="G12" s="5"/>
      <c r="H12" s="10"/>
      <c r="I12" s="2"/>
    </row>
    <row r="13" spans="1:9" s="38" customFormat="1" ht="19.5" customHeight="1" x14ac:dyDescent="0.2">
      <c r="A13" s="37" t="s">
        <v>42</v>
      </c>
      <c r="B13" s="100" t="s">
        <v>52</v>
      </c>
      <c r="C13" s="101" t="s">
        <v>64</v>
      </c>
      <c r="D13" s="101" t="s">
        <v>25</v>
      </c>
      <c r="E13" s="101" t="s">
        <v>94</v>
      </c>
      <c r="F13" s="100" t="s">
        <v>27</v>
      </c>
      <c r="G13" s="100" t="s">
        <v>26</v>
      </c>
      <c r="H13" s="105" t="s">
        <v>28</v>
      </c>
    </row>
    <row r="14" spans="1:9" s="15" customFormat="1" ht="16.5" customHeight="1" x14ac:dyDescent="0.2">
      <c r="A14" s="16">
        <f t="shared" ref="A14:A33" si="0">ROW(A14)-ROW($A$13)</f>
        <v>1</v>
      </c>
      <c r="B14" s="86" t="s">
        <v>53</v>
      </c>
      <c r="C14" s="102" t="s">
        <v>53</v>
      </c>
      <c r="D14" s="102" t="s">
        <v>77</v>
      </c>
      <c r="E14" s="102" t="s">
        <v>84</v>
      </c>
      <c r="F14" s="103" t="s">
        <v>99</v>
      </c>
      <c r="G14" s="86" t="s">
        <v>119</v>
      </c>
      <c r="H14" s="35">
        <v>7</v>
      </c>
    </row>
    <row r="15" spans="1:9" s="15" customFormat="1" ht="16.5" customHeight="1" x14ac:dyDescent="0.2">
      <c r="A15" s="16">
        <f t="shared" si="0"/>
        <v>2</v>
      </c>
      <c r="B15" s="86" t="s">
        <v>54</v>
      </c>
      <c r="C15" s="102" t="s">
        <v>54</v>
      </c>
      <c r="D15" s="102" t="s">
        <v>78</v>
      </c>
      <c r="E15" s="102" t="s">
        <v>95</v>
      </c>
      <c r="F15" s="104" t="s">
        <v>100</v>
      </c>
      <c r="G15" s="86" t="s">
        <v>120</v>
      </c>
      <c r="H15" s="35">
        <v>1</v>
      </c>
    </row>
    <row r="16" spans="1:9" s="15" customFormat="1" ht="16.5" customHeight="1" x14ac:dyDescent="0.2">
      <c r="A16" s="16">
        <f t="shared" si="0"/>
        <v>3</v>
      </c>
      <c r="B16" s="86" t="s">
        <v>55</v>
      </c>
      <c r="C16" s="102" t="s">
        <v>65</v>
      </c>
      <c r="D16" s="102" t="s">
        <v>79</v>
      </c>
      <c r="E16" s="102" t="s">
        <v>84</v>
      </c>
      <c r="F16" s="103" t="s">
        <v>101</v>
      </c>
      <c r="G16" s="86" t="s">
        <v>121</v>
      </c>
      <c r="H16" s="35">
        <v>1</v>
      </c>
    </row>
    <row r="17" spans="1:8" s="15" customFormat="1" ht="16.5" customHeight="1" x14ac:dyDescent="0.2">
      <c r="A17" s="16">
        <f t="shared" si="0"/>
        <v>4</v>
      </c>
      <c r="B17" s="86" t="s">
        <v>55</v>
      </c>
      <c r="C17" s="102" t="s">
        <v>65</v>
      </c>
      <c r="D17" s="102" t="s">
        <v>80</v>
      </c>
      <c r="E17" s="102" t="s">
        <v>96</v>
      </c>
      <c r="F17" s="104" t="s">
        <v>102</v>
      </c>
      <c r="G17" s="86" t="s">
        <v>122</v>
      </c>
      <c r="H17" s="35">
        <v>1</v>
      </c>
    </row>
    <row r="18" spans="1:8" s="15" customFormat="1" ht="16.5" customHeight="1" x14ac:dyDescent="0.2">
      <c r="A18" s="16">
        <f t="shared" si="0"/>
        <v>5</v>
      </c>
      <c r="B18" s="86" t="s">
        <v>56</v>
      </c>
      <c r="C18" s="102" t="s">
        <v>66</v>
      </c>
      <c r="D18" s="102" t="s">
        <v>81</v>
      </c>
      <c r="E18" s="102" t="s">
        <v>97</v>
      </c>
      <c r="F18" s="103" t="s">
        <v>103</v>
      </c>
      <c r="G18" s="86" t="s">
        <v>123</v>
      </c>
      <c r="H18" s="35">
        <v>1</v>
      </c>
    </row>
    <row r="19" spans="1:8" s="15" customFormat="1" ht="16.5" customHeight="1" x14ac:dyDescent="0.2">
      <c r="A19" s="16">
        <f t="shared" si="0"/>
        <v>6</v>
      </c>
      <c r="B19" s="86" t="s">
        <v>56</v>
      </c>
      <c r="C19" s="102" t="s">
        <v>67</v>
      </c>
      <c r="D19" s="102" t="s">
        <v>82</v>
      </c>
      <c r="E19" s="102" t="s">
        <v>84</v>
      </c>
      <c r="F19" s="104" t="s">
        <v>104</v>
      </c>
      <c r="G19" s="86" t="s">
        <v>124</v>
      </c>
      <c r="H19" s="35">
        <v>1</v>
      </c>
    </row>
    <row r="20" spans="1:8" s="15" customFormat="1" ht="16.5" customHeight="1" x14ac:dyDescent="0.2">
      <c r="A20" s="16">
        <f t="shared" si="0"/>
        <v>7</v>
      </c>
      <c r="B20" s="86" t="s">
        <v>56</v>
      </c>
      <c r="C20" s="102" t="s">
        <v>68</v>
      </c>
      <c r="D20" s="102" t="s">
        <v>83</v>
      </c>
      <c r="E20" s="102" t="s">
        <v>97</v>
      </c>
      <c r="F20" s="103" t="s">
        <v>105</v>
      </c>
      <c r="G20" s="86" t="s">
        <v>125</v>
      </c>
      <c r="H20" s="35">
        <v>1</v>
      </c>
    </row>
    <row r="21" spans="1:8" s="15" customFormat="1" ht="16.5" customHeight="1" x14ac:dyDescent="0.2">
      <c r="A21" s="16">
        <f t="shared" si="0"/>
        <v>8</v>
      </c>
      <c r="B21" s="86" t="s">
        <v>57</v>
      </c>
      <c r="C21" s="102" t="s">
        <v>69</v>
      </c>
      <c r="D21" s="102" t="s">
        <v>84</v>
      </c>
      <c r="E21" s="102" t="s">
        <v>84</v>
      </c>
      <c r="F21" s="104" t="s">
        <v>106</v>
      </c>
      <c r="G21" s="86" t="s">
        <v>126</v>
      </c>
      <c r="H21" s="35">
        <v>1</v>
      </c>
    </row>
    <row r="22" spans="1:8" s="15" customFormat="1" ht="16.5" customHeight="1" x14ac:dyDescent="0.2">
      <c r="A22" s="16">
        <f t="shared" si="0"/>
        <v>9</v>
      </c>
      <c r="B22" s="86" t="s">
        <v>57</v>
      </c>
      <c r="C22" s="102" t="s">
        <v>70</v>
      </c>
      <c r="D22" s="102" t="s">
        <v>85</v>
      </c>
      <c r="E22" s="102" t="s">
        <v>84</v>
      </c>
      <c r="F22" s="103" t="s">
        <v>107</v>
      </c>
      <c r="G22" s="86" t="s">
        <v>127</v>
      </c>
      <c r="H22" s="35">
        <v>1</v>
      </c>
    </row>
    <row r="23" spans="1:8" s="15" customFormat="1" ht="16.5" customHeight="1" x14ac:dyDescent="0.2">
      <c r="A23" s="16">
        <f t="shared" si="0"/>
        <v>10</v>
      </c>
      <c r="B23" s="86" t="s">
        <v>57</v>
      </c>
      <c r="C23" s="102" t="s">
        <v>71</v>
      </c>
      <c r="D23" s="102" t="s">
        <v>86</v>
      </c>
      <c r="E23" s="102" t="s">
        <v>84</v>
      </c>
      <c r="F23" s="104" t="s">
        <v>108</v>
      </c>
      <c r="G23" s="86" t="s">
        <v>128</v>
      </c>
      <c r="H23" s="35">
        <v>1</v>
      </c>
    </row>
    <row r="24" spans="1:8" s="15" customFormat="1" ht="16.5" customHeight="1" x14ac:dyDescent="0.2">
      <c r="A24" s="16">
        <f t="shared" si="0"/>
        <v>11</v>
      </c>
      <c r="B24" s="86" t="s">
        <v>58</v>
      </c>
      <c r="C24" s="102" t="s">
        <v>58</v>
      </c>
      <c r="D24" s="102" t="s">
        <v>84</v>
      </c>
      <c r="E24" s="102" t="s">
        <v>84</v>
      </c>
      <c r="F24" s="103" t="s">
        <v>109</v>
      </c>
      <c r="G24" s="86" t="s">
        <v>129</v>
      </c>
      <c r="H24" s="35">
        <v>1</v>
      </c>
    </row>
    <row r="25" spans="1:8" s="15" customFormat="1" ht="16.5" customHeight="1" x14ac:dyDescent="0.2">
      <c r="A25" s="16">
        <f t="shared" si="0"/>
        <v>12</v>
      </c>
      <c r="B25" s="86" t="s">
        <v>43</v>
      </c>
      <c r="C25" s="102" t="s">
        <v>43</v>
      </c>
      <c r="D25" s="102" t="s">
        <v>87</v>
      </c>
      <c r="E25" s="102" t="s">
        <v>84</v>
      </c>
      <c r="F25" s="104" t="s">
        <v>110</v>
      </c>
      <c r="G25" s="86" t="s">
        <v>44</v>
      </c>
      <c r="H25" s="35">
        <v>3</v>
      </c>
    </row>
    <row r="26" spans="1:8" s="15" customFormat="1" ht="16.5" customHeight="1" x14ac:dyDescent="0.2">
      <c r="A26" s="16">
        <f t="shared" si="0"/>
        <v>13</v>
      </c>
      <c r="B26" s="86" t="s">
        <v>43</v>
      </c>
      <c r="C26" s="102" t="s">
        <v>43</v>
      </c>
      <c r="D26" s="102" t="s">
        <v>88</v>
      </c>
      <c r="E26" s="102" t="s">
        <v>84</v>
      </c>
      <c r="F26" s="103" t="s">
        <v>111</v>
      </c>
      <c r="G26" s="86" t="s">
        <v>44</v>
      </c>
      <c r="H26" s="35">
        <v>1</v>
      </c>
    </row>
    <row r="27" spans="1:8" s="15" customFormat="1" ht="16.5" customHeight="1" x14ac:dyDescent="0.2">
      <c r="A27" s="16">
        <f t="shared" si="0"/>
        <v>14</v>
      </c>
      <c r="B27" s="86" t="s">
        <v>43</v>
      </c>
      <c r="C27" s="102" t="s">
        <v>43</v>
      </c>
      <c r="D27" s="102" t="s">
        <v>89</v>
      </c>
      <c r="E27" s="102" t="s">
        <v>84</v>
      </c>
      <c r="F27" s="104" t="s">
        <v>112</v>
      </c>
      <c r="G27" s="86" t="s">
        <v>44</v>
      </c>
      <c r="H27" s="35">
        <v>6</v>
      </c>
    </row>
    <row r="28" spans="1:8" s="15" customFormat="1" ht="16.5" customHeight="1" x14ac:dyDescent="0.2">
      <c r="A28" s="16">
        <f t="shared" si="0"/>
        <v>15</v>
      </c>
      <c r="B28" s="86" t="s">
        <v>43</v>
      </c>
      <c r="C28" s="102" t="s">
        <v>43</v>
      </c>
      <c r="D28" s="102" t="s">
        <v>90</v>
      </c>
      <c r="E28" s="102" t="s">
        <v>98</v>
      </c>
      <c r="F28" s="103" t="s">
        <v>113</v>
      </c>
      <c r="G28" s="86" t="s">
        <v>130</v>
      </c>
      <c r="H28" s="35">
        <v>1</v>
      </c>
    </row>
    <row r="29" spans="1:8" s="15" customFormat="1" ht="16.5" customHeight="1" x14ac:dyDescent="0.2">
      <c r="A29" s="16">
        <f t="shared" si="0"/>
        <v>16</v>
      </c>
      <c r="B29" s="86" t="s">
        <v>59</v>
      </c>
      <c r="C29" s="102" t="s">
        <v>72</v>
      </c>
      <c r="D29" s="102" t="s">
        <v>91</v>
      </c>
      <c r="E29" s="102" t="s">
        <v>84</v>
      </c>
      <c r="F29" s="104" t="s">
        <v>114</v>
      </c>
      <c r="G29" s="86" t="s">
        <v>91</v>
      </c>
      <c r="H29" s="35">
        <v>2</v>
      </c>
    </row>
    <row r="30" spans="1:8" s="15" customFormat="1" ht="16.5" customHeight="1" x14ac:dyDescent="0.2">
      <c r="A30" s="16">
        <f t="shared" si="0"/>
        <v>17</v>
      </c>
      <c r="B30" s="86" t="s">
        <v>60</v>
      </c>
      <c r="C30" s="102" t="s">
        <v>73</v>
      </c>
      <c r="D30" s="102" t="s">
        <v>84</v>
      </c>
      <c r="E30" s="102" t="s">
        <v>84</v>
      </c>
      <c r="F30" s="103" t="s">
        <v>115</v>
      </c>
      <c r="G30" s="86" t="s">
        <v>131</v>
      </c>
      <c r="H30" s="35">
        <v>1</v>
      </c>
    </row>
    <row r="31" spans="1:8" s="15" customFormat="1" ht="16.5" customHeight="1" x14ac:dyDescent="0.2">
      <c r="A31" s="16">
        <f t="shared" si="0"/>
        <v>18</v>
      </c>
      <c r="B31" s="86" t="s">
        <v>61</v>
      </c>
      <c r="C31" s="102" t="s">
        <v>74</v>
      </c>
      <c r="D31" s="102" t="s">
        <v>92</v>
      </c>
      <c r="E31" s="102" t="s">
        <v>84</v>
      </c>
      <c r="F31" s="104" t="s">
        <v>116</v>
      </c>
      <c r="G31" s="86" t="s">
        <v>132</v>
      </c>
      <c r="H31" s="35">
        <v>1</v>
      </c>
    </row>
    <row r="32" spans="1:8" s="15" customFormat="1" ht="16.5" customHeight="1" x14ac:dyDescent="0.2">
      <c r="A32" s="16">
        <f t="shared" si="0"/>
        <v>19</v>
      </c>
      <c r="B32" s="86" t="s">
        <v>62</v>
      </c>
      <c r="C32" s="102" t="s">
        <v>75</v>
      </c>
      <c r="D32" s="102" t="s">
        <v>84</v>
      </c>
      <c r="E32" s="102" t="s">
        <v>84</v>
      </c>
      <c r="F32" s="103" t="s">
        <v>117</v>
      </c>
      <c r="G32" s="86" t="s">
        <v>133</v>
      </c>
      <c r="H32" s="35">
        <v>1</v>
      </c>
    </row>
    <row r="33" spans="1:9" s="15" customFormat="1" ht="16.5" customHeight="1" x14ac:dyDescent="0.2">
      <c r="A33" s="16">
        <f t="shared" si="0"/>
        <v>20</v>
      </c>
      <c r="B33" s="86" t="s">
        <v>63</v>
      </c>
      <c r="C33" s="102" t="s">
        <v>76</v>
      </c>
      <c r="D33" s="102" t="s">
        <v>93</v>
      </c>
      <c r="E33" s="102" t="s">
        <v>84</v>
      </c>
      <c r="F33" s="104" t="s">
        <v>118</v>
      </c>
      <c r="G33" s="86" t="s">
        <v>134</v>
      </c>
      <c r="H33" s="35">
        <v>1</v>
      </c>
    </row>
    <row r="34" spans="1:9" x14ac:dyDescent="0.2">
      <c r="A34" s="75"/>
      <c r="B34" s="92"/>
      <c r="C34" s="76"/>
      <c r="D34" s="76"/>
      <c r="E34" s="76"/>
      <c r="F34" s="77"/>
      <c r="G34" s="78"/>
      <c r="H34" s="36">
        <f>SUM(H14:H33)</f>
        <v>34</v>
      </c>
    </row>
    <row r="35" spans="1:9" customFormat="1" ht="13.7" customHeight="1" x14ac:dyDescent="0.2">
      <c r="A35" s="52" t="s">
        <v>0</v>
      </c>
      <c r="B35" s="74"/>
      <c r="C35" s="42"/>
      <c r="D35" s="73" t="s">
        <v>1</v>
      </c>
      <c r="E35" s="73"/>
      <c r="F35" s="42"/>
      <c r="G35" s="74"/>
      <c r="H35" s="53"/>
      <c r="I35" s="40" t="s">
        <v>4</v>
      </c>
    </row>
    <row r="36" spans="1:9" customFormat="1" ht="12.95" customHeight="1" x14ac:dyDescent="0.2">
      <c r="A36" s="57"/>
      <c r="B36" s="93"/>
      <c r="C36" s="58"/>
      <c r="D36" s="59"/>
      <c r="E36" s="84"/>
      <c r="F36" s="58"/>
      <c r="G36" s="60"/>
      <c r="H36" s="61"/>
      <c r="I36" s="41"/>
    </row>
    <row r="37" spans="1:9" customFormat="1" ht="12.95" customHeight="1" x14ac:dyDescent="0.2">
      <c r="A37" s="54"/>
      <c r="B37" s="40"/>
      <c r="C37" s="45"/>
      <c r="D37" s="46"/>
      <c r="E37" s="42"/>
      <c r="F37" s="45"/>
      <c r="G37" s="47"/>
      <c r="H37" s="53"/>
      <c r="I37" s="41"/>
    </row>
    <row r="38" spans="1:9" customFormat="1" ht="12.95" customHeight="1" x14ac:dyDescent="0.2">
      <c r="A38" s="54"/>
      <c r="B38" s="40"/>
      <c r="C38" s="45"/>
      <c r="D38" s="46"/>
      <c r="E38" s="42"/>
      <c r="F38" s="45"/>
      <c r="G38" s="47"/>
      <c r="H38" s="53"/>
      <c r="I38" s="41"/>
    </row>
    <row r="39" spans="1:9" customFormat="1" ht="12.95" customHeight="1" x14ac:dyDescent="0.2">
      <c r="A39" s="54"/>
      <c r="B39" s="40"/>
      <c r="C39" s="45"/>
      <c r="D39" s="46"/>
      <c r="E39" s="42"/>
      <c r="F39" s="45"/>
      <c r="G39" s="47"/>
      <c r="H39" s="53"/>
      <c r="I39" s="41"/>
    </row>
    <row r="40" spans="1:9" customFormat="1" ht="9.75" customHeight="1" x14ac:dyDescent="0.2">
      <c r="A40" s="55"/>
      <c r="B40" s="44"/>
      <c r="C40" s="62"/>
      <c r="D40" s="63"/>
      <c r="E40" s="43"/>
      <c r="F40" s="62"/>
      <c r="G40" s="64"/>
      <c r="H40" s="56"/>
      <c r="I40" s="41"/>
    </row>
    <row r="41" spans="1:9" customFormat="1" ht="12.95" customHeight="1" x14ac:dyDescent="0.2">
      <c r="A41" s="55"/>
      <c r="B41" s="44"/>
      <c r="C41" s="43"/>
      <c r="D41" s="43"/>
      <c r="E41" s="43"/>
      <c r="F41" s="43"/>
      <c r="G41" s="44"/>
      <c r="H41" s="56"/>
      <c r="I41" s="41"/>
    </row>
    <row r="42" spans="1:9" customFormat="1" ht="12.95" customHeight="1" x14ac:dyDescent="0.2">
      <c r="A42" s="23"/>
      <c r="B42" s="25"/>
      <c r="C42" s="24"/>
      <c r="D42" s="24"/>
      <c r="E42" s="24"/>
      <c r="F42" s="24"/>
      <c r="G42" s="25"/>
      <c r="H42" s="26"/>
      <c r="I42" s="41"/>
    </row>
    <row r="43" spans="1:9" customFormat="1" ht="12.95" customHeight="1" x14ac:dyDescent="0.2">
      <c r="A43" s="27"/>
      <c r="B43" s="94"/>
      <c r="C43" s="28"/>
      <c r="D43" s="28"/>
      <c r="E43" s="28"/>
      <c r="F43" s="28"/>
      <c r="G43" s="29"/>
      <c r="H43" s="30"/>
      <c r="I43" s="41"/>
    </row>
    <row r="48" spans="1:9" x14ac:dyDescent="0.2">
      <c r="E48" s="89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B15" sqref="B15"/>
    </sheetView>
  </sheetViews>
  <sheetFormatPr defaultRowHeight="12.75" x14ac:dyDescent="0.2"/>
  <cols>
    <col min="1" max="1" width="30.28515625" style="18" customWidth="1"/>
    <col min="2" max="2" width="108.5703125" style="18" customWidth="1"/>
  </cols>
  <sheetData>
    <row r="1" spans="1:2" s="20" customFormat="1" ht="17.25" customHeight="1" x14ac:dyDescent="0.2">
      <c r="A1" s="19" t="s">
        <v>7</v>
      </c>
      <c r="B1" s="106" t="s">
        <v>135</v>
      </c>
    </row>
    <row r="2" spans="1:2" s="20" customFormat="1" ht="17.25" customHeight="1" x14ac:dyDescent="0.2">
      <c r="A2" s="21" t="s">
        <v>9</v>
      </c>
      <c r="B2" s="107" t="s">
        <v>47</v>
      </c>
    </row>
    <row r="3" spans="1:2" s="20" customFormat="1" ht="17.25" customHeight="1" x14ac:dyDescent="0.2">
      <c r="A3" s="22" t="s">
        <v>8</v>
      </c>
      <c r="B3" s="108" t="s">
        <v>136</v>
      </c>
    </row>
    <row r="4" spans="1:2" s="20" customFormat="1" ht="17.25" customHeight="1" x14ac:dyDescent="0.2">
      <c r="A4" s="21" t="s">
        <v>10</v>
      </c>
      <c r="B4" s="107" t="s">
        <v>47</v>
      </c>
    </row>
    <row r="5" spans="1:2" s="20" customFormat="1" ht="17.25" customHeight="1" x14ac:dyDescent="0.2">
      <c r="A5" s="22" t="s">
        <v>11</v>
      </c>
      <c r="B5" s="108" t="s">
        <v>135</v>
      </c>
    </row>
    <row r="6" spans="1:2" s="20" customFormat="1" ht="17.25" customHeight="1" x14ac:dyDescent="0.2">
      <c r="A6" s="21" t="s">
        <v>6</v>
      </c>
      <c r="B6" s="107" t="s">
        <v>137</v>
      </c>
    </row>
    <row r="7" spans="1:2" s="20" customFormat="1" ht="17.25" customHeight="1" x14ac:dyDescent="0.2">
      <c r="A7" s="22" t="s">
        <v>12</v>
      </c>
      <c r="B7" s="108" t="s">
        <v>138</v>
      </c>
    </row>
    <row r="8" spans="1:2" s="20" customFormat="1" ht="17.25" customHeight="1" x14ac:dyDescent="0.2">
      <c r="A8" s="21" t="s">
        <v>13</v>
      </c>
      <c r="B8" s="107" t="s">
        <v>50</v>
      </c>
    </row>
    <row r="9" spans="1:2" s="20" customFormat="1" ht="17.25" customHeight="1" x14ac:dyDescent="0.2">
      <c r="A9" s="22" t="s">
        <v>14</v>
      </c>
      <c r="B9" s="108" t="s">
        <v>46</v>
      </c>
    </row>
    <row r="10" spans="1:2" s="20" customFormat="1" ht="17.25" customHeight="1" x14ac:dyDescent="0.2">
      <c r="A10" s="21" t="s">
        <v>16</v>
      </c>
      <c r="B10" s="107" t="s">
        <v>139</v>
      </c>
    </row>
    <row r="11" spans="1:2" s="20" customFormat="1" ht="17.25" customHeight="1" x14ac:dyDescent="0.2">
      <c r="A11" s="22" t="s">
        <v>15</v>
      </c>
      <c r="B11" s="108" t="s">
        <v>21</v>
      </c>
    </row>
    <row r="12" spans="1:2" s="20" customFormat="1" ht="17.25" customHeight="1" x14ac:dyDescent="0.2">
      <c r="A12" s="21" t="s">
        <v>17</v>
      </c>
      <c r="B12" s="107" t="s">
        <v>140</v>
      </c>
    </row>
    <row r="13" spans="1:2" s="20" customFormat="1" ht="17.25" customHeight="1" x14ac:dyDescent="0.2">
      <c r="A13" s="22" t="s">
        <v>18</v>
      </c>
      <c r="B13" s="108" t="s">
        <v>141</v>
      </c>
    </row>
    <row r="14" spans="1:2" s="20" customFormat="1" ht="17.25" customHeight="1" x14ac:dyDescent="0.2">
      <c r="A14" s="21" t="s">
        <v>19</v>
      </c>
      <c r="B14" s="107" t="s">
        <v>21</v>
      </c>
    </row>
    <row r="15" spans="1:2" ht="13.5" thickBot="1" x14ac:dyDescent="0.25">
      <c r="A15" s="79" t="s">
        <v>23</v>
      </c>
      <c r="B15" s="80" t="s">
        <v>41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5A02-08EA-4111-BFA8-AD548FB6E25B}">
  <dimension ref="A1:S27"/>
  <sheetViews>
    <sheetView tabSelected="1" topLeftCell="B1" workbookViewId="0">
      <selection activeCell="U12" sqref="U12"/>
    </sheetView>
  </sheetViews>
  <sheetFormatPr defaultRowHeight="12.75" x14ac:dyDescent="0.2"/>
  <cols>
    <col min="2" max="2" width="47.42578125" customWidth="1"/>
    <col min="3" max="4" width="0" hidden="1" customWidth="1"/>
    <col min="5" max="5" width="11.5703125" hidden="1" customWidth="1"/>
    <col min="6" max="7" width="0" hidden="1" customWidth="1"/>
    <col min="8" max="8" width="6.42578125" customWidth="1"/>
    <col min="9" max="11" width="0" hidden="1" customWidth="1"/>
    <col min="14" max="14" width="20.28515625" bestFit="1" customWidth="1"/>
  </cols>
  <sheetData>
    <row r="1" spans="1:19" x14ac:dyDescent="0.2">
      <c r="E1" s="109" t="s">
        <v>51</v>
      </c>
      <c r="F1" s="110" t="s">
        <v>48</v>
      </c>
    </row>
    <row r="2" spans="1:19" ht="13.5" thickBot="1" x14ac:dyDescent="0.25">
      <c r="E2" s="87" t="s">
        <v>29</v>
      </c>
      <c r="F2" s="88">
        <f>'BOM Report'!$D$7</f>
        <v>5</v>
      </c>
    </row>
    <row r="5" spans="1:19" x14ac:dyDescent="0.2">
      <c r="B5" s="111" t="s">
        <v>39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</row>
    <row r="6" spans="1:19" x14ac:dyDescent="0.2">
      <c r="A6" t="s">
        <v>42</v>
      </c>
      <c r="B6" t="s">
        <v>24</v>
      </c>
      <c r="C6" t="s">
        <v>25</v>
      </c>
      <c r="D6" t="s">
        <v>1</v>
      </c>
      <c r="E6" t="s">
        <v>27</v>
      </c>
      <c r="F6" t="s">
        <v>26</v>
      </c>
      <c r="G6" t="s">
        <v>28</v>
      </c>
      <c r="H6" t="s">
        <v>30</v>
      </c>
      <c r="M6" t="s">
        <v>31</v>
      </c>
      <c r="N6" t="s">
        <v>32</v>
      </c>
      <c r="O6" t="s">
        <v>33</v>
      </c>
      <c r="P6" t="s">
        <v>36</v>
      </c>
      <c r="Q6" t="s">
        <v>35</v>
      </c>
      <c r="R6" t="s">
        <v>34</v>
      </c>
      <c r="S6" t="s">
        <v>37</v>
      </c>
    </row>
    <row r="7" spans="1:19" x14ac:dyDescent="0.2">
      <c r="A7">
        <f>ROW(A7)-ROW($A$6)</f>
        <v>1</v>
      </c>
      <c r="B7" t="str">
        <f>IF(OR(VLOOKUP(A7,'BOM Report'!$A$14:$H$34,2,FALSE)="DNP",VLOOKUP(A7,'BOM Report'!$A$14:$H$34,2,FALSE)=""),"",VLOOKUP(A7,'BOM Report'!$A$14:$H$34,3,FALSE)&amp;","&amp;VLOOKUP(A7,'BOM Report'!$A$14:$H$34,4,FALSE)&amp;", "&amp;VLOOKUP(A7,'BOM Report'!$A$14:$H$34,7,FALSE))</f>
        <v>Ceramic Capacitor,0.1uF, 0603C</v>
      </c>
      <c r="C7" t="str">
        <f>IF(B7="","",VLOOKUP(A7,'BOM Report'!$A$14:$H$34,4,FALSE))</f>
        <v>0.1uF</v>
      </c>
      <c r="D7" t="str">
        <f>IF(B7="","",VLOOKUP(A7,'BOM Report'!$A$14:$H$34,5,FALSE))</f>
        <v/>
      </c>
      <c r="E7" t="str">
        <f>IF(B7="","",VLOOKUP(A7,'BOM Report'!$A$14:$H$34,6,FALSE))</f>
        <v>C1, C2, C3, C4, C5, C6, C7</v>
      </c>
      <c r="F7" t="str">
        <f>IF(B7="","",VLOOKUP(A7,'BOM Report'!$A$14:$H$34,7,FALSE))</f>
        <v>0603C</v>
      </c>
      <c r="G7">
        <f>IF(B7="","",VLOOKUP(A7,'BOM Report'!$A$14:$H$34,8,FALSE))</f>
        <v>7</v>
      </c>
      <c r="H7">
        <f>IF(B7="",0,G7*$F$2)</f>
        <v>35</v>
      </c>
      <c r="M7">
        <v>1</v>
      </c>
      <c r="N7" s="112" t="s">
        <v>142</v>
      </c>
      <c r="O7" t="s">
        <v>143</v>
      </c>
      <c r="P7">
        <v>4.2000000000000003E-2</v>
      </c>
      <c r="Q7">
        <f>H7+K7</f>
        <v>35</v>
      </c>
      <c r="R7">
        <f>P7*Q7</f>
        <v>1.4700000000000002</v>
      </c>
      <c r="S7" s="85" t="str">
        <f>IF(G7="","No","Yes")</f>
        <v>Yes</v>
      </c>
    </row>
    <row r="8" spans="1:19" x14ac:dyDescent="0.2">
      <c r="A8">
        <f t="shared" ref="A8:A27" si="0">ROW(A8)-ROW($A$6)</f>
        <v>2</v>
      </c>
      <c r="B8" t="str">
        <f>IF(OR(VLOOKUP(A8,'BOM Report'!$A$14:$H$34,2,FALSE)="DNP",VLOOKUP(A8,'BOM Report'!$A$14:$H$34,2,FALSE)=""),"",VLOOKUP(A8,'BOM Report'!$A$14:$H$34,3,FALSE)&amp;","&amp;VLOOKUP(A8,'BOM Report'!$A$14:$H$34,4,FALSE)&amp;", "&amp;VLOOKUP(A8,'BOM Report'!$A$14:$H$34,7,FALSE))</f>
        <v>Eletrolitic Capacitor,1000uF, WCAP-AS5H_8x10.5</v>
      </c>
      <c r="C8" t="str">
        <f>IF(B8="","",VLOOKUP(A8,'BOM Report'!$A$14:$H$34,4,FALSE))</f>
        <v>1000uF</v>
      </c>
      <c r="D8" t="str">
        <f>IF(B8="","",VLOOKUP(A8,'BOM Report'!$A$14:$H$34,5,FALSE))</f>
        <v>MCVVT6R3M102FB3L</v>
      </c>
      <c r="E8" t="str">
        <f>IF(B8="","",VLOOKUP(A8,'BOM Report'!$A$14:$H$34,6,FALSE))</f>
        <v>CE1</v>
      </c>
      <c r="F8" t="str">
        <f>IF(B8="","",VLOOKUP(A8,'BOM Report'!$A$14:$H$34,7,FALSE))</f>
        <v>WCAP-AS5H_8x10.5</v>
      </c>
      <c r="G8">
        <f>IF(B8="","",VLOOKUP(A8,'BOM Report'!$A$14:$H$34,8,FALSE))</f>
        <v>1</v>
      </c>
      <c r="H8">
        <f t="shared" ref="H8:H22" si="1">IF(B8="",0,G8*$F$2)</f>
        <v>5</v>
      </c>
      <c r="M8">
        <v>1</v>
      </c>
      <c r="N8" s="113" t="s">
        <v>144</v>
      </c>
      <c r="O8" t="s">
        <v>145</v>
      </c>
      <c r="P8">
        <v>1.01</v>
      </c>
      <c r="Q8">
        <f t="shared" ref="Q8:Q10" si="2">H8+K8</f>
        <v>5</v>
      </c>
      <c r="R8">
        <f t="shared" ref="R8:R10" si="3">P8*Q8</f>
        <v>5.05</v>
      </c>
      <c r="S8" s="85" t="str">
        <f t="shared" ref="S8:S11" si="4">IF(G8="","No","Yes")</f>
        <v>Yes</v>
      </c>
    </row>
    <row r="9" spans="1:19" x14ac:dyDescent="0.2">
      <c r="A9">
        <f t="shared" si="0"/>
        <v>3</v>
      </c>
      <c r="B9" t="str">
        <f>IF(OR(VLOOKUP(A9,'BOM Report'!$A$14:$H$34,2,FALSE)="DNP",VLOOKUP(A9,'BOM Report'!$A$14:$H$34,2,FALSE)=""),"",VLOOKUP(A9,'BOM Report'!$A$14:$H$34,3,FALSE)&amp;","&amp;VLOOKUP(A9,'BOM Report'!$A$14:$H$34,4,FALSE)&amp;", "&amp;VLOOKUP(A9,'BOM Report'!$A$14:$H$34,7,FALSE))</f>
        <v>Condensador Tantalum,2.2uF, 1206T</v>
      </c>
      <c r="C9" t="str">
        <f>IF(B9="","",VLOOKUP(A9,'BOM Report'!$A$14:$H$34,4,FALSE))</f>
        <v>2.2uF</v>
      </c>
      <c r="D9" t="str">
        <f>IF(B9="","",VLOOKUP(A9,'BOM Report'!$A$14:$H$34,5,FALSE))</f>
        <v/>
      </c>
      <c r="E9" t="str">
        <f>IF(B9="","",VLOOKUP(A9,'BOM Report'!$A$14:$H$34,6,FALSE))</f>
        <v>CT1</v>
      </c>
      <c r="F9" t="str">
        <f>IF(B9="","",VLOOKUP(A9,'BOM Report'!$A$14:$H$34,7,FALSE))</f>
        <v>1206T</v>
      </c>
      <c r="G9">
        <f>IF(B9="","",VLOOKUP(A9,'BOM Report'!$A$14:$H$34,8,FALSE))</f>
        <v>1</v>
      </c>
      <c r="H9">
        <f t="shared" si="1"/>
        <v>5</v>
      </c>
      <c r="M9">
        <v>1</v>
      </c>
      <c r="N9" s="112" t="s">
        <v>146</v>
      </c>
      <c r="O9" t="s">
        <v>147</v>
      </c>
      <c r="P9">
        <v>0.26300000000000001</v>
      </c>
      <c r="Q9">
        <f t="shared" si="2"/>
        <v>5</v>
      </c>
      <c r="R9">
        <f t="shared" si="3"/>
        <v>1.3149999999999999</v>
      </c>
      <c r="S9" s="85" t="str">
        <f t="shared" si="4"/>
        <v>Yes</v>
      </c>
    </row>
    <row r="10" spans="1:19" x14ac:dyDescent="0.2">
      <c r="A10">
        <f t="shared" si="0"/>
        <v>4</v>
      </c>
      <c r="B10" t="str">
        <f>IF(OR(VLOOKUP(A10,'BOM Report'!$A$14:$H$34,2,FALSE)="DNP",VLOOKUP(A10,'BOM Report'!$A$14:$H$34,2,FALSE)=""),"",VLOOKUP(A10,'BOM Report'!$A$14:$H$34,3,FALSE)&amp;","&amp;VLOOKUP(A10,'BOM Report'!$A$14:$H$34,4,FALSE)&amp;", "&amp;VLOOKUP(A10,'BOM Report'!$A$14:$H$34,7,FALSE))</f>
        <v>Condensador Tantalum,1uF, 0603T</v>
      </c>
      <c r="C10" t="str">
        <f>IF(B10="","",VLOOKUP(A10,'BOM Report'!$A$14:$H$34,4,FALSE))</f>
        <v>1uF</v>
      </c>
      <c r="D10" t="str">
        <f>IF(B10="","",VLOOKUP(A10,'BOM Report'!$A$14:$H$34,5,FALSE))</f>
        <v>TMCJ1C105MTRF</v>
      </c>
      <c r="E10" t="str">
        <f>IF(B10="","",VLOOKUP(A10,'BOM Report'!$A$14:$H$34,6,FALSE))</f>
        <v>CT2</v>
      </c>
      <c r="F10" t="str">
        <f>IF(B10="","",VLOOKUP(A10,'BOM Report'!$A$14:$H$34,7,FALSE))</f>
        <v>0603T</v>
      </c>
      <c r="G10">
        <f>IF(B10="","",VLOOKUP(A10,'BOM Report'!$A$14:$H$34,8,FALSE))</f>
        <v>1</v>
      </c>
      <c r="H10">
        <f t="shared" si="1"/>
        <v>5</v>
      </c>
      <c r="M10">
        <v>1</v>
      </c>
      <c r="N10" s="112" t="s">
        <v>148</v>
      </c>
      <c r="O10" t="s">
        <v>149</v>
      </c>
      <c r="P10">
        <v>0.33</v>
      </c>
      <c r="Q10">
        <f t="shared" si="2"/>
        <v>5</v>
      </c>
      <c r="R10">
        <f t="shared" si="3"/>
        <v>1.6500000000000001</v>
      </c>
      <c r="S10" s="85" t="str">
        <f t="shared" si="4"/>
        <v>Yes</v>
      </c>
    </row>
    <row r="11" spans="1:19" x14ac:dyDescent="0.2">
      <c r="A11">
        <f t="shared" si="0"/>
        <v>5</v>
      </c>
      <c r="B11" t="str">
        <f>IF(OR(VLOOKUP(A11,'BOM Report'!$A$14:$H$34,2,FALSE)="DNP",VLOOKUP(A11,'BOM Report'!$A$14:$H$34,2,FALSE)=""),"",VLOOKUP(A11,'BOM Report'!$A$14:$H$34,3,FALSE)&amp;","&amp;VLOOKUP(A11,'BOM Report'!$A$14:$H$34,4,FALSE)&amp;", "&amp;VLOOKUP(A11,'BOM Report'!$A$14:$H$34,7,FALSE))</f>
        <v/>
      </c>
      <c r="C11" t="str">
        <f>IF(B11="","",VLOOKUP(A11,'BOM Report'!$A$14:$H$34,4,FALSE))</f>
        <v/>
      </c>
      <c r="D11" t="str">
        <f>IF(B11="","",VLOOKUP(A11,'BOM Report'!$A$14:$H$34,5,FALSE))</f>
        <v/>
      </c>
      <c r="E11" t="str">
        <f>IF(B11="","",VLOOKUP(A11,'BOM Report'!$A$14:$H$34,6,FALSE))</f>
        <v/>
      </c>
      <c r="F11" t="str">
        <f>IF(B11="","",VLOOKUP(A11,'BOM Report'!$A$14:$H$34,7,FALSE))</f>
        <v/>
      </c>
      <c r="G11" t="str">
        <f>IF(B11="","",VLOOKUP(A11,'BOM Report'!$A$14:$H$34,8,FALSE))</f>
        <v/>
      </c>
      <c r="H11">
        <f t="shared" si="1"/>
        <v>0</v>
      </c>
      <c r="R11">
        <v>1</v>
      </c>
      <c r="S11" s="85" t="str">
        <f t="shared" si="4"/>
        <v>No</v>
      </c>
    </row>
    <row r="12" spans="1:19" x14ac:dyDescent="0.2">
      <c r="A12">
        <f t="shared" si="0"/>
        <v>6</v>
      </c>
      <c r="B12" t="str">
        <f>IF(OR(VLOOKUP(A12,'BOM Report'!$A$14:$H$34,2,FALSE)="DNP",VLOOKUP(A12,'BOM Report'!$A$14:$H$34,2,FALSE)=""),"",VLOOKUP(A12,'BOM Report'!$A$14:$H$34,3,FALSE)&amp;","&amp;VLOOKUP(A12,'BOM Report'!$A$14:$H$34,4,FALSE)&amp;", "&amp;VLOOKUP(A12,'BOM Report'!$A$14:$H$34,7,FALSE))</f>
        <v/>
      </c>
      <c r="C12" t="str">
        <f>IF(B12="","",VLOOKUP(A12,'BOM Report'!$A$14:$H$34,4,FALSE))</f>
        <v/>
      </c>
      <c r="D12" t="str">
        <f>IF(B12="","",VLOOKUP(A12,'BOM Report'!$A$14:$H$34,5,FALSE))</f>
        <v/>
      </c>
      <c r="E12" t="str">
        <f>IF(B12="","",VLOOKUP(A12,'BOM Report'!$A$14:$H$34,6,FALSE))</f>
        <v/>
      </c>
      <c r="F12" t="str">
        <f>IF(B12="","",VLOOKUP(A12,'BOM Report'!$A$14:$H$34,7,FALSE))</f>
        <v/>
      </c>
      <c r="G12" t="str">
        <f>IF(B12="","",VLOOKUP(A12,'BOM Report'!$A$14:$H$34,8,FALSE))</f>
        <v/>
      </c>
      <c r="H12">
        <f t="shared" si="1"/>
        <v>0</v>
      </c>
      <c r="R12">
        <v>1</v>
      </c>
      <c r="S12" s="85" t="str">
        <f t="shared" ref="S12:S26" si="5">IF(G12="","No","Yes")</f>
        <v>No</v>
      </c>
    </row>
    <row r="13" spans="1:19" x14ac:dyDescent="0.2">
      <c r="A13">
        <f t="shared" si="0"/>
        <v>7</v>
      </c>
      <c r="B13" t="str">
        <f>IF(OR(VLOOKUP(A13,'BOM Report'!$A$14:$H$34,2,FALSE)="DNP",VLOOKUP(A13,'BOM Report'!$A$14:$H$34,2,FALSE)=""),"",VLOOKUP(A13,'BOM Report'!$A$14:$H$34,3,FALSE)&amp;","&amp;VLOOKUP(A13,'BOM Report'!$A$14:$H$34,4,FALSE)&amp;", "&amp;VLOOKUP(A13,'BOM Report'!$A$14:$H$34,7,FALSE))</f>
        <v/>
      </c>
      <c r="C13" t="str">
        <f>IF(B13="","",VLOOKUP(A13,'BOM Report'!$A$14:$H$34,4,FALSE))</f>
        <v/>
      </c>
      <c r="D13" t="str">
        <f>IF(B13="","",VLOOKUP(A13,'BOM Report'!$A$14:$H$34,5,FALSE))</f>
        <v/>
      </c>
      <c r="E13" t="str">
        <f>IF(B13="","",VLOOKUP(A13,'BOM Report'!$A$14:$H$34,6,FALSE))</f>
        <v/>
      </c>
      <c r="F13" t="str">
        <f>IF(B13="","",VLOOKUP(A13,'BOM Report'!$A$14:$H$34,7,FALSE))</f>
        <v/>
      </c>
      <c r="G13" t="str">
        <f>IF(B13="","",VLOOKUP(A13,'BOM Report'!$A$14:$H$34,8,FALSE))</f>
        <v/>
      </c>
      <c r="H13">
        <f t="shared" si="1"/>
        <v>0</v>
      </c>
      <c r="R13">
        <v>1</v>
      </c>
      <c r="S13" s="85" t="str">
        <f t="shared" si="5"/>
        <v>No</v>
      </c>
    </row>
    <row r="14" spans="1:19" x14ac:dyDescent="0.2">
      <c r="A14">
        <f t="shared" si="0"/>
        <v>8</v>
      </c>
      <c r="B14" t="str">
        <f>IF(OR(VLOOKUP(A14,'BOM Report'!$A$14:$H$34,2,FALSE)="DNP",VLOOKUP(A14,'BOM Report'!$A$14:$H$34,2,FALSE)=""),"",VLOOKUP(A14,'BOM Report'!$A$14:$H$34,3,FALSE)&amp;","&amp;VLOOKUP(A14,'BOM Report'!$A$14:$H$34,4,FALSE)&amp;", "&amp;VLOOKUP(A14,'BOM Report'!$A$14:$H$34,7,FALSE))</f>
        <v>Conector 2 pins,, 691313510002</v>
      </c>
      <c r="C14" t="str">
        <f>IF(B14="","",VLOOKUP(A14,'BOM Report'!$A$14:$H$34,4,FALSE))</f>
        <v/>
      </c>
      <c r="D14" t="str">
        <f>IF(B14="","",VLOOKUP(A14,'BOM Report'!$A$14:$H$34,5,FALSE))</f>
        <v/>
      </c>
      <c r="E14" t="str">
        <f>IF(B14="","",VLOOKUP(A14,'BOM Report'!$A$14:$H$34,6,FALSE))</f>
        <v>J1</v>
      </c>
      <c r="F14" t="str">
        <f>IF(B14="","",VLOOKUP(A14,'BOM Report'!$A$14:$H$34,7,FALSE))</f>
        <v>691313510002</v>
      </c>
      <c r="G14">
        <f>IF(B14="","",VLOOKUP(A14,'BOM Report'!$A$14:$H$34,8,FALSE))</f>
        <v>1</v>
      </c>
      <c r="H14">
        <f t="shared" si="1"/>
        <v>5</v>
      </c>
      <c r="M14">
        <v>1</v>
      </c>
      <c r="N14" s="114" t="s">
        <v>150</v>
      </c>
      <c r="O14" t="s">
        <v>151</v>
      </c>
      <c r="P14">
        <v>0.49099999999999999</v>
      </c>
      <c r="Q14">
        <f t="shared" ref="Q14:Q18" si="6">H14+K14</f>
        <v>5</v>
      </c>
      <c r="R14">
        <f t="shared" ref="R14:R18" si="7">P14*Q14</f>
        <v>2.4550000000000001</v>
      </c>
      <c r="S14" s="85" t="str">
        <f t="shared" si="5"/>
        <v>Yes</v>
      </c>
    </row>
    <row r="15" spans="1:19" x14ac:dyDescent="0.2">
      <c r="A15">
        <f t="shared" si="0"/>
        <v>9</v>
      </c>
      <c r="B15" t="str">
        <f>IF(OR(VLOOKUP(A15,'BOM Report'!$A$14:$H$34,2,FALSE)="DNP",VLOOKUP(A15,'BOM Report'!$A$14:$H$34,2,FALSE)=""),"",VLOOKUP(A15,'BOM Report'!$A$14:$H$34,3,FALSE)&amp;","&amp;VLOOKUP(A15,'BOM Report'!$A$14:$H$34,4,FALSE)&amp;", "&amp;VLOOKUP(A15,'BOM Report'!$A$14:$H$34,7,FALSE))</f>
        <v>Conector 4 pins,4, 61300411121</v>
      </c>
      <c r="C15" t="str">
        <f>IF(B15="","",VLOOKUP(A15,'BOM Report'!$A$14:$H$34,4,FALSE))</f>
        <v>4</v>
      </c>
      <c r="D15" t="str">
        <f>IF(B15="","",VLOOKUP(A15,'BOM Report'!$A$14:$H$34,5,FALSE))</f>
        <v/>
      </c>
      <c r="E15" t="str">
        <f>IF(B15="","",VLOOKUP(A15,'BOM Report'!$A$14:$H$34,6,FALSE))</f>
        <v>J2</v>
      </c>
      <c r="F15" t="str">
        <f>IF(B15="","",VLOOKUP(A15,'BOM Report'!$A$14:$H$34,7,FALSE))</f>
        <v>61300411121</v>
      </c>
      <c r="G15">
        <f>IF(B15="","",VLOOKUP(A15,'BOM Report'!$A$14:$H$34,8,FALSE))</f>
        <v>1</v>
      </c>
      <c r="H15">
        <f t="shared" si="1"/>
        <v>5</v>
      </c>
      <c r="M15">
        <v>1</v>
      </c>
      <c r="N15" s="114">
        <v>61300411121</v>
      </c>
      <c r="O15" s="85" t="s">
        <v>152</v>
      </c>
      <c r="P15">
        <v>0.161</v>
      </c>
      <c r="Q15">
        <f t="shared" si="6"/>
        <v>5</v>
      </c>
      <c r="R15">
        <f t="shared" si="7"/>
        <v>0.80500000000000005</v>
      </c>
      <c r="S15" s="85" t="str">
        <f t="shared" si="5"/>
        <v>Yes</v>
      </c>
    </row>
    <row r="16" spans="1:19" x14ac:dyDescent="0.2">
      <c r="A16">
        <f t="shared" si="0"/>
        <v>10</v>
      </c>
      <c r="B16" t="str">
        <f>IF(OR(VLOOKUP(A16,'BOM Report'!$A$14:$H$34,2,FALSE)="DNP",VLOOKUP(A16,'BOM Report'!$A$14:$H$34,2,FALSE)=""),"",VLOOKUP(A16,'BOM Report'!$A$14:$H$34,3,FALSE)&amp;","&amp;VLOOKUP(A16,'BOM Report'!$A$14:$H$34,4,FALSE)&amp;", "&amp;VLOOKUP(A16,'BOM Report'!$A$14:$H$34,7,FALSE))</f>
        <v>Conector 3 pins,3, 61300311121</v>
      </c>
      <c r="C16" t="str">
        <f>IF(B16="","",VLOOKUP(A16,'BOM Report'!$A$14:$H$34,4,FALSE))</f>
        <v>3</v>
      </c>
      <c r="D16" t="str">
        <f>IF(B16="","",VLOOKUP(A16,'BOM Report'!$A$14:$H$34,5,FALSE))</f>
        <v/>
      </c>
      <c r="E16" t="str">
        <f>IF(B16="","",VLOOKUP(A16,'BOM Report'!$A$14:$H$34,6,FALSE))</f>
        <v>J3</v>
      </c>
      <c r="F16" t="str">
        <f>IF(B16="","",VLOOKUP(A16,'BOM Report'!$A$14:$H$34,7,FALSE))</f>
        <v>61300311121</v>
      </c>
      <c r="G16">
        <f>IF(B16="","",VLOOKUP(A16,'BOM Report'!$A$14:$H$34,8,FALSE))</f>
        <v>1</v>
      </c>
      <c r="H16">
        <f t="shared" si="1"/>
        <v>5</v>
      </c>
      <c r="M16">
        <v>1</v>
      </c>
      <c r="N16" s="113">
        <v>61300311121</v>
      </c>
      <c r="O16" s="114" t="s">
        <v>153</v>
      </c>
      <c r="P16">
        <v>0.11</v>
      </c>
      <c r="Q16">
        <f t="shared" si="6"/>
        <v>5</v>
      </c>
      <c r="R16">
        <f t="shared" si="7"/>
        <v>0.55000000000000004</v>
      </c>
      <c r="S16" s="85" t="str">
        <f t="shared" si="5"/>
        <v>Yes</v>
      </c>
    </row>
    <row r="17" spans="1:19" x14ac:dyDescent="0.2">
      <c r="A17">
        <f t="shared" si="0"/>
        <v>11</v>
      </c>
      <c r="B17" t="str">
        <f>IF(OR(VLOOKUP(A17,'BOM Report'!$A$14:$H$34,2,FALSE)="DNP",VLOOKUP(A17,'BOM Report'!$A$14:$H$34,2,FALSE)=""),"",VLOOKUP(A17,'BOM Report'!$A$14:$H$34,3,FALSE)&amp;","&amp;VLOOKUP(A17,'BOM Report'!$A$14:$H$34,4,FALSE)&amp;", "&amp;VLOOKUP(A17,'BOM Report'!$A$14:$H$34,7,FALSE))</f>
        <v>Led,, LED_5MM_RED_1C-2A</v>
      </c>
      <c r="C17" t="str">
        <f>IF(B17="","",VLOOKUP(A17,'BOM Report'!$A$14:$H$34,4,FALSE))</f>
        <v/>
      </c>
      <c r="D17" t="str">
        <f>IF(B17="","",VLOOKUP(A17,'BOM Report'!$A$14:$H$34,5,FALSE))</f>
        <v/>
      </c>
      <c r="E17" t="str">
        <f>IF(B17="","",VLOOKUP(A17,'BOM Report'!$A$14:$H$34,6,FALSE))</f>
        <v>Led1</v>
      </c>
      <c r="F17" t="str">
        <f>IF(B17="","",VLOOKUP(A17,'BOM Report'!$A$14:$H$34,7,FALSE))</f>
        <v>LED_5MM_RED_1C-2A</v>
      </c>
      <c r="G17">
        <f>IF(B17="","",VLOOKUP(A17,'BOM Report'!$A$14:$H$34,8,FALSE))</f>
        <v>1</v>
      </c>
      <c r="H17">
        <f t="shared" si="1"/>
        <v>5</v>
      </c>
      <c r="M17">
        <v>1</v>
      </c>
      <c r="N17" s="113" t="s">
        <v>154</v>
      </c>
      <c r="O17" s="85" t="s">
        <v>155</v>
      </c>
      <c r="P17">
        <v>0.10199999999999999</v>
      </c>
      <c r="Q17">
        <f t="shared" si="6"/>
        <v>5</v>
      </c>
      <c r="R17">
        <f t="shared" si="7"/>
        <v>0.51</v>
      </c>
      <c r="S17" s="85" t="str">
        <f t="shared" si="5"/>
        <v>Yes</v>
      </c>
    </row>
    <row r="18" spans="1:19" x14ac:dyDescent="0.2">
      <c r="A18">
        <f t="shared" si="0"/>
        <v>12</v>
      </c>
      <c r="B18" t="str">
        <f>IF(OR(VLOOKUP(A18,'BOM Report'!$A$14:$H$34,2,FALSE)="DNP",VLOOKUP(A18,'BOM Report'!$A$14:$H$34,2,FALSE)=""),"",VLOOKUP(A18,'BOM Report'!$A$14:$H$34,3,FALSE)&amp;","&amp;VLOOKUP(A18,'BOM Report'!$A$14:$H$34,4,FALSE)&amp;", "&amp;VLOOKUP(A18,'BOM Report'!$A$14:$H$34,7,FALSE))</f>
        <v>Res,470R, 0603</v>
      </c>
      <c r="C18" t="str">
        <f>IF(B18="","",VLOOKUP(A18,'BOM Report'!$A$14:$H$34,4,FALSE))</f>
        <v>470R</v>
      </c>
      <c r="D18" t="str">
        <f>IF(B18="","",VLOOKUP(A18,'BOM Report'!$A$14:$H$34,5,FALSE))</f>
        <v/>
      </c>
      <c r="E18" t="str">
        <f>IF(B18="","",VLOOKUP(A18,'BOM Report'!$A$14:$H$34,6,FALSE))</f>
        <v>R1, R3, R4</v>
      </c>
      <c r="F18" t="str">
        <f>IF(B18="","",VLOOKUP(A18,'BOM Report'!$A$14:$H$34,7,FALSE))</f>
        <v>0603</v>
      </c>
      <c r="G18">
        <f>IF(B18="","",VLOOKUP(A18,'BOM Report'!$A$14:$H$34,8,FALSE))</f>
        <v>3</v>
      </c>
      <c r="H18">
        <f t="shared" si="1"/>
        <v>15</v>
      </c>
      <c r="M18">
        <v>1</v>
      </c>
      <c r="N18" s="113" t="s">
        <v>159</v>
      </c>
      <c r="O18" t="s">
        <v>160</v>
      </c>
      <c r="P18">
        <v>8.5000000000000006E-2</v>
      </c>
      <c r="Q18">
        <f t="shared" si="6"/>
        <v>15</v>
      </c>
      <c r="R18">
        <f t="shared" si="7"/>
        <v>1.2750000000000001</v>
      </c>
      <c r="S18" s="85" t="str">
        <f t="shared" si="5"/>
        <v>Yes</v>
      </c>
    </row>
    <row r="19" spans="1:19" x14ac:dyDescent="0.2">
      <c r="A19">
        <f t="shared" si="0"/>
        <v>13</v>
      </c>
      <c r="B19" t="str">
        <f>IF(OR(VLOOKUP(A19,'BOM Report'!$A$14:$H$34,2,FALSE)="DNP",VLOOKUP(A19,'BOM Report'!$A$14:$H$34,2,FALSE)=""),"",VLOOKUP(A19,'BOM Report'!$A$14:$H$34,3,FALSE)&amp;","&amp;VLOOKUP(A19,'BOM Report'!$A$14:$H$34,4,FALSE)&amp;", "&amp;VLOOKUP(A19,'BOM Report'!$A$14:$H$34,7,FALSE))</f>
        <v>Res,0R1, 0603</v>
      </c>
      <c r="C19" t="str">
        <f>IF(B19="","",VLOOKUP(A19,'BOM Report'!$A$14:$H$34,4,FALSE))</f>
        <v>0R1</v>
      </c>
      <c r="D19" t="str">
        <f>IF(B19="","",VLOOKUP(A19,'BOM Report'!$A$14:$H$34,5,FALSE))</f>
        <v/>
      </c>
      <c r="E19" t="str">
        <f>IF(B19="","",VLOOKUP(A19,'BOM Report'!$A$14:$H$34,6,FALSE))</f>
        <v>R2</v>
      </c>
      <c r="F19" t="str">
        <f>IF(B19="","",VLOOKUP(A19,'BOM Report'!$A$14:$H$34,7,FALSE))</f>
        <v>0603</v>
      </c>
      <c r="G19">
        <f>IF(B19="","",VLOOKUP(A19,'BOM Report'!$A$14:$H$34,8,FALSE))</f>
        <v>1</v>
      </c>
      <c r="H19">
        <f t="shared" si="1"/>
        <v>5</v>
      </c>
      <c r="M19">
        <v>1</v>
      </c>
      <c r="N19" s="113">
        <v>560050316001</v>
      </c>
      <c r="O19" s="85" t="s">
        <v>158</v>
      </c>
      <c r="P19">
        <v>0.127</v>
      </c>
      <c r="Q19">
        <f t="shared" ref="Q19:Q20" si="8">H19+K19</f>
        <v>5</v>
      </c>
      <c r="R19">
        <f t="shared" ref="R19:R20" si="9">P19*Q19</f>
        <v>0.63500000000000001</v>
      </c>
      <c r="S19" s="85" t="str">
        <f t="shared" si="5"/>
        <v>Yes</v>
      </c>
    </row>
    <row r="20" spans="1:19" x14ac:dyDescent="0.2">
      <c r="A20">
        <f t="shared" si="0"/>
        <v>14</v>
      </c>
      <c r="B20" t="str">
        <f>IF(OR(VLOOKUP(A20,'BOM Report'!$A$14:$H$34,2,FALSE)="DNP",VLOOKUP(A20,'BOM Report'!$A$14:$H$34,2,FALSE)=""),"",VLOOKUP(A20,'BOM Report'!$A$14:$H$34,3,FALSE)&amp;","&amp;VLOOKUP(A20,'BOM Report'!$A$14:$H$34,4,FALSE)&amp;", "&amp;VLOOKUP(A20,'BOM Report'!$A$14:$H$34,7,FALSE))</f>
        <v>Res,10k, 0603</v>
      </c>
      <c r="C20" t="str">
        <f>IF(B20="","",VLOOKUP(A20,'BOM Report'!$A$14:$H$34,4,FALSE))</f>
        <v>10k</v>
      </c>
      <c r="D20" t="str">
        <f>IF(B20="","",VLOOKUP(A20,'BOM Report'!$A$14:$H$34,5,FALSE))</f>
        <v/>
      </c>
      <c r="E20" t="str">
        <f>IF(B20="","",VLOOKUP(A20,'BOM Report'!$A$14:$H$34,6,FALSE))</f>
        <v>R5, R6, R8, R9, R10, R11</v>
      </c>
      <c r="F20" t="str">
        <f>IF(B20="","",VLOOKUP(A20,'BOM Report'!$A$14:$H$34,7,FALSE))</f>
        <v>0603</v>
      </c>
      <c r="G20">
        <f>IF(B20="","",VLOOKUP(A20,'BOM Report'!$A$14:$H$34,8,FALSE))</f>
        <v>6</v>
      </c>
      <c r="H20">
        <f t="shared" si="1"/>
        <v>30</v>
      </c>
      <c r="M20">
        <v>1</v>
      </c>
      <c r="N20" s="113" t="s">
        <v>161</v>
      </c>
      <c r="O20" s="85" t="s">
        <v>162</v>
      </c>
      <c r="P20">
        <v>8.5000000000000006E-2</v>
      </c>
      <c r="Q20">
        <f t="shared" si="8"/>
        <v>30</v>
      </c>
      <c r="R20">
        <f t="shared" si="9"/>
        <v>2.5500000000000003</v>
      </c>
      <c r="S20" s="85" t="str">
        <f t="shared" si="5"/>
        <v>Yes</v>
      </c>
    </row>
    <row r="21" spans="1:19" x14ac:dyDescent="0.2">
      <c r="A21">
        <f t="shared" si="0"/>
        <v>15</v>
      </c>
      <c r="B21" t="str">
        <f>IF(OR(VLOOKUP(A21,'BOM Report'!$A$14:$H$34,2,FALSE)="DNP",VLOOKUP(A21,'BOM Report'!$A$14:$H$34,2,FALSE)=""),"",VLOOKUP(A21,'BOM Report'!$A$14:$H$34,3,FALSE)&amp;","&amp;VLOOKUP(A21,'BOM Report'!$A$14:$H$34,4,FALSE)&amp;", "&amp;VLOOKUP(A21,'BOM Report'!$A$14:$H$34,7,FALSE))</f>
        <v>Res,0R0, 0805</v>
      </c>
      <c r="C21" t="str">
        <f>IF(B21="","",VLOOKUP(A21,'BOM Report'!$A$14:$H$34,4,FALSE))</f>
        <v>0R0</v>
      </c>
      <c r="D21" t="str">
        <f>IF(B21="","",VLOOKUP(A21,'BOM Report'!$A$14:$H$34,5,FALSE))</f>
        <v>AC</v>
      </c>
      <c r="E21" t="str">
        <f>IF(B21="","",VLOOKUP(A21,'BOM Report'!$A$14:$H$34,6,FALSE))</f>
        <v>R7</v>
      </c>
      <c r="F21" t="str">
        <f>IF(B21="","",VLOOKUP(A21,'BOM Report'!$A$14:$H$34,7,FALSE))</f>
        <v>0805</v>
      </c>
      <c r="G21">
        <f>IF(B21="","",VLOOKUP(A21,'BOM Report'!$A$14:$H$34,8,FALSE))</f>
        <v>1</v>
      </c>
      <c r="H21">
        <f t="shared" si="1"/>
        <v>5</v>
      </c>
      <c r="M21">
        <v>1</v>
      </c>
      <c r="N21" s="113" t="s">
        <v>156</v>
      </c>
      <c r="O21" s="85" t="s">
        <v>157</v>
      </c>
      <c r="P21">
        <v>8.5000000000000006E-2</v>
      </c>
      <c r="Q21">
        <f t="shared" ref="Q21:Q22" si="10">H21+K21</f>
        <v>5</v>
      </c>
      <c r="R21">
        <f t="shared" ref="R21:R22" si="11">P21*Q21</f>
        <v>0.42500000000000004</v>
      </c>
      <c r="S21" s="85" t="str">
        <f t="shared" si="5"/>
        <v>Yes</v>
      </c>
    </row>
    <row r="22" spans="1:19" x14ac:dyDescent="0.2">
      <c r="A22">
        <f t="shared" si="0"/>
        <v>16</v>
      </c>
      <c r="B22" t="str">
        <f>IF(OR(VLOOKUP(A22,'BOM Report'!$A$14:$H$34,2,FALSE)="DNP",VLOOKUP(A22,'BOM Report'!$A$14:$H$34,2,FALSE)=""),"",VLOOKUP(A22,'BOM Report'!$A$14:$H$34,3,FALSE)&amp;","&amp;VLOOKUP(A22,'BOM Report'!$A$14:$H$34,4,FALSE)&amp;", "&amp;VLOOKUP(A22,'BOM Report'!$A$14:$H$34,7,FALSE))</f>
        <v>6x3.5mm SMD WS-TASV, height 4.3 mm, 160 gf,434121043816, 434121043816</v>
      </c>
      <c r="C22" t="str">
        <f>IF(B22="","",VLOOKUP(A22,'BOM Report'!$A$14:$H$34,4,FALSE))</f>
        <v>434121043816</v>
      </c>
      <c r="D22" t="str">
        <f>IF(B22="","",VLOOKUP(A22,'BOM Report'!$A$14:$H$34,5,FALSE))</f>
        <v/>
      </c>
      <c r="E22" t="str">
        <f>IF(B22="","",VLOOKUP(A22,'BOM Report'!$A$14:$H$34,6,FALSE))</f>
        <v>S1, S2</v>
      </c>
      <c r="F22" t="str">
        <f>IF(B22="","",VLOOKUP(A22,'BOM Report'!$A$14:$H$34,7,FALSE))</f>
        <v>434121043816</v>
      </c>
      <c r="G22">
        <f>IF(B22="","",VLOOKUP(A22,'BOM Report'!$A$14:$H$34,8,FALSE))</f>
        <v>2</v>
      </c>
      <c r="H22">
        <f t="shared" si="1"/>
        <v>10</v>
      </c>
      <c r="M22">
        <v>1</v>
      </c>
      <c r="N22" s="113">
        <v>434121043816</v>
      </c>
      <c r="O22" s="85" t="s">
        <v>163</v>
      </c>
      <c r="P22">
        <v>0.48299999999999998</v>
      </c>
      <c r="Q22">
        <f t="shared" si="10"/>
        <v>10</v>
      </c>
      <c r="R22">
        <f t="shared" si="11"/>
        <v>4.83</v>
      </c>
      <c r="S22" s="85" t="str">
        <f t="shared" si="5"/>
        <v>Yes</v>
      </c>
    </row>
    <row r="23" spans="1:19" x14ac:dyDescent="0.2">
      <c r="A23">
        <f>ROW(A23)-ROW($A$6)</f>
        <v>17</v>
      </c>
      <c r="B23" t="str">
        <f>IF(OR(VLOOKUP(A23,'BOM Report'!$A$14:$H$34,2,FALSE)="DNP",VLOOKUP(A23,'BOM Report'!$A$14:$H$34,2,FALSE)=""),"",VLOOKUP(A23,'BOM Report'!$A$14:$H$34,3,FALSE)&amp;","&amp;VLOOKUP(A23,'BOM Report'!$A$14:$H$34,4,FALSE)&amp;", "&amp;VLOOKUP(A23,'BOM Report'!$A$14:$H$34,7,FALSE))</f>
        <v>HI-LINK Ultra-compact power module HLK-PM01&lt;p&gt; &lt;ul&gt; &lt;li&gt;Meet UL, CE requirements&lt;/li&gt; &lt;li&gt;Ultra-thin, ultra-small&lt;/li&gt; &lt;li&gt;All voltage input (AC: 90 ~ 264V)&lt;/li&gt; &lt;li&gt;Low ripple and low noise&lt;/li&gt; &lt;li&gt;Output overload and short circuit protection&lt;/li&gt; &lt;li&gt;High efficiency, high power density&lt;/li&gt; &lt;li&gt;The product is designed to meet the requirements of EMC and Safety Test&lt;/li&gt; &lt;li&gt;Low power consumption, environmental protection, no-load loss &lt;0.1W&lt;/li&gt; &lt;li&gt;100% load aging and testing&lt;/li&gt;,, HLK-PM01/ISE</v>
      </c>
      <c r="C23" t="str">
        <f>IF(B23="","",VLOOKUP(A23,'BOM Report'!$A$14:$H$34,4,FALSE))</f>
        <v/>
      </c>
      <c r="D23" t="str">
        <f>IF(B23="","",VLOOKUP(A23,'BOM Report'!$A$14:$H$34,5,FALSE))</f>
        <v/>
      </c>
      <c r="E23" t="str">
        <f>IF(B23="","",VLOOKUP(A23,'BOM Report'!$A$14:$H$34,6,FALSE))</f>
        <v>U1</v>
      </c>
      <c r="F23" t="str">
        <f>IF(B23="","",VLOOKUP(A23,'BOM Report'!$A$14:$H$34,7,FALSE))</f>
        <v>HLK-PM01/ISE</v>
      </c>
      <c r="G23">
        <f>IF(B23="","",VLOOKUP(A23,'BOM Report'!$A$14:$H$34,8,FALSE))</f>
        <v>1</v>
      </c>
      <c r="H23">
        <f>IF(B23="",0,G23*$F$2)</f>
        <v>5</v>
      </c>
      <c r="L23" s="85" t="s">
        <v>164</v>
      </c>
      <c r="M23">
        <v>1</v>
      </c>
      <c r="N23" s="112" t="s">
        <v>60</v>
      </c>
      <c r="P23">
        <v>1</v>
      </c>
      <c r="R23">
        <f>P23*Q23</f>
        <v>0</v>
      </c>
      <c r="S23" s="85" t="str">
        <f t="shared" si="5"/>
        <v>Yes</v>
      </c>
    </row>
    <row r="24" spans="1:19" x14ac:dyDescent="0.2">
      <c r="A24">
        <f t="shared" si="0"/>
        <v>18</v>
      </c>
      <c r="B24" t="str">
        <f>IF(OR(VLOOKUP(A24,'BOM Report'!$A$14:$H$34,2,FALSE)="DNP",VLOOKUP(A24,'BOM Report'!$A$14:$H$34,2,FALSE)=""),"",VLOOKUP(A24,'BOM Report'!$A$14:$H$34,3,FALSE)&amp;","&amp;VLOOKUP(A24,'BOM Report'!$A$14:$H$34,4,FALSE)&amp;", "&amp;VLOOKUP(A24,'BOM Report'!$A$14:$H$34,7,FALSE))</f>
        <v>ST, LF33ABDT-TR, Fixed LDO Voltage Regulator, 3V to 16V, 400mV Dropout, 3.3Vout, 0.5Aout, TO-252-3,LF33ABDT-TR, DPAK-TO-252-3, CASE369C</v>
      </c>
      <c r="C24" t="str">
        <f>IF(B24="","",VLOOKUP(A24,'BOM Report'!$A$14:$H$34,4,FALSE))</f>
        <v>LF33ABDT-TR</v>
      </c>
      <c r="D24" t="str">
        <f>IF(B24="","",VLOOKUP(A24,'BOM Report'!$A$14:$H$34,5,FALSE))</f>
        <v/>
      </c>
      <c r="E24" t="str">
        <f>IF(B24="","",VLOOKUP(A24,'BOM Report'!$A$14:$H$34,6,FALSE))</f>
        <v>U2</v>
      </c>
      <c r="F24" t="str">
        <f>IF(B24="","",VLOOKUP(A24,'BOM Report'!$A$14:$H$34,7,FALSE))</f>
        <v>DPAK-TO-252-3, CASE369C</v>
      </c>
      <c r="G24">
        <f>IF(B24="","",VLOOKUP(A24,'BOM Report'!$A$14:$H$34,8,FALSE))</f>
        <v>1</v>
      </c>
      <c r="H24">
        <f t="shared" ref="H24:H27" si="12">IF(B24="",0,G24*$F$2)</f>
        <v>5</v>
      </c>
      <c r="M24">
        <v>1</v>
      </c>
      <c r="N24" s="114" t="s">
        <v>165</v>
      </c>
      <c r="O24" t="s">
        <v>166</v>
      </c>
      <c r="P24">
        <v>0.79600000000000004</v>
      </c>
      <c r="Q24">
        <f t="shared" ref="Q24" si="13">H24+K24</f>
        <v>5</v>
      </c>
      <c r="R24">
        <f>P24*Q24</f>
        <v>3.9800000000000004</v>
      </c>
      <c r="S24" s="85" t="str">
        <f t="shared" si="5"/>
        <v>Yes</v>
      </c>
    </row>
    <row r="25" spans="1:19" x14ac:dyDescent="0.2">
      <c r="A25">
        <f t="shared" si="0"/>
        <v>19</v>
      </c>
      <c r="B25" t="str">
        <f>IF(OR(VLOOKUP(A25,'BOM Report'!$A$14:$H$34,2,FALSE)="DNP",VLOOKUP(A25,'BOM Report'!$A$14:$H$34,2,FALSE)=""),"",VLOOKUP(A25,'BOM Report'!$A$14:$H$34,3,FALSE)&amp;","&amp;VLOOKUP(A25,'BOM Report'!$A$14:$H$34,4,FALSE)&amp;", "&amp;VLOOKUP(A25,'BOM Report'!$A$14:$H$34,7,FALSE))</f>
        <v>This WiFi module has a 32-bit MCU micro and clock speeds supporting 80 MHz or 160 MHz. Supports the RTOS and integrated Wi-Fi MAC/BB/RF/PA/LNA, and has an on-board antenna.,, XCVR_ESP8266-12E/ESP-12E</v>
      </c>
      <c r="C25" t="str">
        <f>IF(B25="","",VLOOKUP(A25,'BOM Report'!$A$14:$H$34,4,FALSE))</f>
        <v/>
      </c>
      <c r="D25" t="str">
        <f>IF(B25="","",VLOOKUP(A25,'BOM Report'!$A$14:$H$34,5,FALSE))</f>
        <v/>
      </c>
      <c r="E25" t="str">
        <f>IF(B25="","",VLOOKUP(A25,'BOM Report'!$A$14:$H$34,6,FALSE))</f>
        <v>U3</v>
      </c>
      <c r="F25" t="str">
        <f>IF(B25="","",VLOOKUP(A25,'BOM Report'!$A$14:$H$34,7,FALSE))</f>
        <v>XCVR_ESP8266-12E/ESP-12E</v>
      </c>
      <c r="G25">
        <f>IF(B25="","",VLOOKUP(A25,'BOM Report'!$A$14:$H$34,8,FALSE))</f>
        <v>1</v>
      </c>
      <c r="H25">
        <f t="shared" si="12"/>
        <v>5</v>
      </c>
      <c r="L25" s="85" t="s">
        <v>164</v>
      </c>
      <c r="M25">
        <v>1</v>
      </c>
      <c r="N25" s="112" t="s">
        <v>168</v>
      </c>
      <c r="P25">
        <v>1</v>
      </c>
      <c r="S25" s="85" t="str">
        <f t="shared" si="5"/>
        <v>Yes</v>
      </c>
    </row>
    <row r="26" spans="1:19" x14ac:dyDescent="0.2">
      <c r="A26">
        <f t="shared" si="0"/>
        <v>20</v>
      </c>
      <c r="B26" t="str">
        <f>IF(OR(VLOOKUP(A26,'BOM Report'!$A$14:$H$34,2,FALSE)="DNP",VLOOKUP(A26,'BOM Report'!$A$14:$H$34,2,FALSE)=""),"",VLOOKUP(A26,'BOM Report'!$A$14:$H$34,3,FALSE)&amp;","&amp;VLOOKUP(A26,'BOM Report'!$A$14:$H$34,4,FALSE)&amp;", "&amp;VLOOKUP(A26,'BOM Report'!$A$14:$H$34,7,FALSE))</f>
        <v>3-V to 5.5-V Single-Channel RS-232 Line Driver / Receiver with ±15-kV ESD Protection, -40 to 85 degC, 16-Pin TSSOP (PW), Green (RoHS &amp; no Sb/Br),MAX3221IPW, TI-PW16_M</v>
      </c>
      <c r="C26" t="str">
        <f>IF(B26="","",VLOOKUP(A26,'BOM Report'!$A$14:$H$34,4,FALSE))</f>
        <v>MAX3221IPW</v>
      </c>
      <c r="D26" t="str">
        <f>IF(B26="","",VLOOKUP(A26,'BOM Report'!$A$14:$H$34,5,FALSE))</f>
        <v/>
      </c>
      <c r="E26" t="str">
        <f>IF(B26="","",VLOOKUP(A26,'BOM Report'!$A$14:$H$34,6,FALSE))</f>
        <v>U4</v>
      </c>
      <c r="F26" t="str">
        <f>IF(B26="","",VLOOKUP(A26,'BOM Report'!$A$14:$H$34,7,FALSE))</f>
        <v>TI-PW16_M</v>
      </c>
      <c r="G26">
        <f>IF(B26="","",VLOOKUP(A26,'BOM Report'!$A$14:$H$34,8,FALSE))</f>
        <v>1</v>
      </c>
      <c r="H26">
        <f t="shared" si="12"/>
        <v>5</v>
      </c>
      <c r="M26">
        <v>1</v>
      </c>
      <c r="N26" s="112" t="s">
        <v>93</v>
      </c>
      <c r="O26" s="85" t="s">
        <v>167</v>
      </c>
      <c r="P26">
        <v>1.61</v>
      </c>
      <c r="Q26">
        <f t="shared" ref="Q26" si="14">H26+K26</f>
        <v>5</v>
      </c>
      <c r="R26">
        <f t="shared" ref="R26" si="15">P26*Q26</f>
        <v>8.0500000000000007</v>
      </c>
      <c r="S26" s="85" t="str">
        <f t="shared" si="5"/>
        <v>Yes</v>
      </c>
    </row>
    <row r="27" spans="1:19" x14ac:dyDescent="0.2">
      <c r="Q27" t="s">
        <v>38</v>
      </c>
      <c r="R27">
        <f>SUMIF(S7:S26,"Yes",R7:R26)</f>
        <v>35.550000000000004</v>
      </c>
    </row>
  </sheetData>
  <mergeCells count="1">
    <mergeCell ref="B5:S5"/>
  </mergeCells>
  <conditionalFormatting sqref="S7:S2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BOM Report</vt:lpstr>
      <vt:lpstr>Project Information</vt:lpstr>
      <vt:lpstr>BOM Cost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Utilizador</dc:creator>
  <cp:lastModifiedBy>Utilizador</cp:lastModifiedBy>
  <cp:lastPrinted>2002-11-05T13:50:54Z</cp:lastPrinted>
  <dcterms:created xsi:type="dcterms:W3CDTF">2000-10-27T00:30:29Z</dcterms:created>
  <dcterms:modified xsi:type="dcterms:W3CDTF">2021-10-30T06:32:41Z</dcterms:modified>
</cp:coreProperties>
</file>