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wmf" ContentType="image/x-wmf"/>
  <Override PartName="/xl/media/image2.wmf" ContentType="image/x-wmf"/>
  <Override PartName="/xl/media/image1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c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<sst xmlns="http://schemas.openxmlformats.org/spreadsheetml/2006/main" count="223" uniqueCount="129">
  <si>
    <t xml:space="preserve">TPS54232</t>
  </si>
  <si>
    <t xml:space="preserve">Vin_min</t>
  </si>
  <si>
    <t xml:space="preserve">V</t>
  </si>
  <si>
    <t xml:space="preserve">Vin_max</t>
  </si>
  <si>
    <t xml:space="preserve">Vout_nom</t>
  </si>
  <si>
    <t xml:space="preserve">From Cell B59</t>
  </si>
  <si>
    <t xml:space="preserve">Iout(max 2.0A)</t>
  </si>
  <si>
    <t xml:space="preserve">A</t>
  </si>
  <si>
    <t xml:space="preserve">(peak)</t>
  </si>
  <si>
    <t xml:space="preserve">fsw</t>
  </si>
  <si>
    <t xml:space="preserve">MHz</t>
  </si>
  <si>
    <r>
      <rPr>
        <sz val="11"/>
        <color rgb="FF000000"/>
        <rFont val="Calibri"/>
        <family val="2"/>
        <charset val="1"/>
      </rPr>
      <t xml:space="preserve">V</t>
    </r>
    <r>
      <rPr>
        <vertAlign val="subscript"/>
        <sz val="11"/>
        <color rgb="FF000000"/>
        <rFont val="Calibri"/>
        <family val="2"/>
        <charset val="1"/>
      </rPr>
      <t xml:space="preserve">DS</t>
    </r>
  </si>
  <si>
    <t xml:space="preserve">Iq</t>
  </si>
  <si>
    <t xml:space="preserve">uA</t>
  </si>
  <si>
    <t xml:space="preserve">Dmax</t>
  </si>
  <si>
    <t xml:space="preserve">&lt;0.9</t>
  </si>
  <si>
    <t xml:space="preserve">Dmin</t>
  </si>
  <si>
    <t xml:space="preserve">&gt;0.13</t>
  </si>
  <si>
    <t xml:space="preserve">r</t>
  </si>
  <si>
    <t xml:space="preserve">0.2-0.4</t>
  </si>
  <si>
    <t xml:space="preserve">L</t>
  </si>
  <si>
    <t xml:space="preserve">uH</t>
  </si>
  <si>
    <t xml:space="preserve">Suggested Inductance</t>
  </si>
  <si>
    <r>
      <rPr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LPK</t>
    </r>
  </si>
  <si>
    <t xml:space="preserve">Discontinous at</t>
  </si>
  <si>
    <t xml:space="preserve">INDUCTOR</t>
  </si>
  <si>
    <t xml:space="preserve">Type</t>
  </si>
  <si>
    <t xml:space="preserve">XAL6060-223</t>
  </si>
  <si>
    <t xml:space="preserve">Coilcraft</t>
  </si>
  <si>
    <t xml:space="preserve">(1u-47uH)</t>
  </si>
  <si>
    <t xml:space="preserve">http://www.coilcraft.com/pdfs/xal60xx.pdf</t>
  </si>
  <si>
    <r>
      <rPr>
        <sz val="11"/>
        <color rgb="FF000000"/>
        <rFont val="Calibri"/>
        <family val="2"/>
        <charset val="1"/>
      </rPr>
      <t xml:space="preserve">L</t>
    </r>
    <r>
      <rPr>
        <vertAlign val="subscript"/>
        <sz val="11"/>
        <color rgb="FF000000"/>
        <rFont val="Calibri"/>
        <family val="2"/>
        <charset val="1"/>
      </rPr>
      <t xml:space="preserve">DCR</t>
    </r>
  </si>
  <si>
    <t xml:space="preserve">mOhm</t>
  </si>
  <si>
    <t xml:space="preserve">http://www.bourns.com/data/global/pdfs/SRN5040.pdf</t>
  </si>
  <si>
    <t xml:space="preserve">(0.2-0.4)</t>
  </si>
  <si>
    <t xml:space="preserve">&lt;2.3A</t>
  </si>
  <si>
    <t xml:space="preserve">Efficiency</t>
  </si>
  <si>
    <r>
      <rPr>
        <sz val="11"/>
        <color rgb="FF000000"/>
        <rFont val="Calibri"/>
        <family val="2"/>
        <charset val="1"/>
      </rPr>
      <t xml:space="preserve">P</t>
    </r>
    <r>
      <rPr>
        <vertAlign val="subscript"/>
        <sz val="11"/>
        <color rgb="FF000000"/>
        <rFont val="Calibri"/>
        <family val="2"/>
        <charset val="1"/>
      </rPr>
      <t xml:space="preserve">INTERNAL</t>
    </r>
  </si>
  <si>
    <t xml:space="preserve">W</t>
  </si>
  <si>
    <t xml:space="preserve">INPUT CAPACITOR</t>
  </si>
  <si>
    <t xml:space="preserve">Irms-in</t>
  </si>
  <si>
    <t xml:space="preserve">X7R/X5R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</si>
  <si>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IN_min</t>
    </r>
  </si>
  <si>
    <t xml:space="preserve">uF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</si>
  <si>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IN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</si>
  <si>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ESR</t>
    </r>
  </si>
  <si>
    <t xml:space="preserve">Input ripple</t>
  </si>
  <si>
    <t xml:space="preserve">mV</t>
  </si>
  <si>
    <t xml:space="preserve">OUTPUT CAPACITOR</t>
  </si>
  <si>
    <t xml:space="preserve">Irms-out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</si>
  <si>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OUT_min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</si>
  <si>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OUT</t>
    </r>
  </si>
  <si>
    <t xml:space="preserve">Bias considered!</t>
  </si>
  <si>
    <t xml:space="preserve">Output ripple</t>
  </si>
  <si>
    <t xml:space="preserve">CATCH DIODE</t>
  </si>
  <si>
    <t xml:space="preserve">VF</t>
  </si>
  <si>
    <t xml:space="preserve">https://www.fairchildsemi.com/datasheets/SS/SS14.pdf</t>
  </si>
  <si>
    <t xml:space="preserve">ID1</t>
  </si>
  <si>
    <t xml:space="preserve">&lt;1A</t>
  </si>
  <si>
    <t xml:space="preserve">VR</t>
  </si>
  <si>
    <t xml:space="preserve">&lt;40V</t>
  </si>
  <si>
    <t xml:space="preserve">FEED BACK</t>
  </si>
  <si>
    <r>
      <rPr>
        <sz val="11"/>
        <color rgb="FF000000"/>
        <rFont val="Calibri"/>
        <family val="2"/>
        <charset val="1"/>
      </rPr>
      <t xml:space="preserve">V</t>
    </r>
    <r>
      <rPr>
        <vertAlign val="subscript"/>
        <sz val="11"/>
        <color rgb="FF000000"/>
        <rFont val="Calibri"/>
        <family val="2"/>
        <charset val="1"/>
      </rPr>
      <t xml:space="preserve">FB_min</t>
    </r>
  </si>
  <si>
    <r>
      <rPr>
        <sz val="11"/>
        <color rgb="FF000000"/>
        <rFont val="Calibri"/>
        <family val="2"/>
        <charset val="1"/>
      </rPr>
      <t xml:space="preserve">V</t>
    </r>
    <r>
      <rPr>
        <vertAlign val="subscript"/>
        <sz val="11"/>
        <color rgb="FF000000"/>
        <rFont val="Calibri"/>
        <family val="2"/>
        <charset val="1"/>
      </rPr>
      <t xml:space="preserve">FB_typ</t>
    </r>
  </si>
  <si>
    <r>
      <rPr>
        <sz val="11"/>
        <color rgb="FF000000"/>
        <rFont val="Calibri"/>
        <family val="2"/>
        <charset val="1"/>
      </rPr>
      <t xml:space="preserve">V</t>
    </r>
    <r>
      <rPr>
        <vertAlign val="subscript"/>
        <sz val="11"/>
        <color rgb="FF000000"/>
        <rFont val="Calibri"/>
        <family val="2"/>
        <charset val="1"/>
      </rPr>
      <t xml:space="preserve">FB_max</t>
    </r>
  </si>
  <si>
    <t xml:space="preserve">OUTPUT VOLTAGE</t>
  </si>
  <si>
    <t xml:space="preserve">R1</t>
  </si>
  <si>
    <t xml:space="preserve">kOhm</t>
  </si>
  <si>
    <t xml:space="preserve">R2</t>
  </si>
  <si>
    <t xml:space="preserve">Resistor Tolerance</t>
  </si>
  <si>
    <t xml:space="preserve">%</t>
  </si>
  <si>
    <t xml:space="preserve">Vout_max</t>
  </si>
  <si>
    <t xml:space="preserve">&lt;5.5V</t>
  </si>
  <si>
    <t xml:space="preserve">Vout_min</t>
  </si>
  <si>
    <t xml:space="preserve">COMPENSATION</t>
  </si>
  <si>
    <r>
      <rPr>
        <sz val="11"/>
        <color rgb="FF000000"/>
        <rFont val="Calibri"/>
        <family val="2"/>
        <charset val="1"/>
      </rP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LC</t>
    </r>
  </si>
  <si>
    <t xml:space="preserve">kHz</t>
  </si>
  <si>
    <t xml:space="preserve">Output filter double pole</t>
  </si>
  <si>
    <r>
      <rPr>
        <sz val="11"/>
        <color rgb="FF000000"/>
        <rFont val="Calibri"/>
        <family val="2"/>
        <charset val="1"/>
      </rP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ESR</t>
    </r>
  </si>
  <si>
    <t xml:space="preserve">Output filter zero</t>
  </si>
  <si>
    <r>
      <rPr>
        <sz val="11"/>
        <color rgb="FF000000"/>
        <rFont val="Calibri"/>
        <family val="2"/>
        <charset val="1"/>
      </rP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Load_Pole</t>
    </r>
  </si>
  <si>
    <t xml:space="preserve">Hz</t>
  </si>
  <si>
    <t xml:space="preserve">Output filter pole CCM</t>
  </si>
  <si>
    <t xml:space="preserve">Control Mode</t>
  </si>
  <si>
    <t xml:space="preserve">Current</t>
  </si>
  <si>
    <t xml:space="preserve">Required compensation</t>
  </si>
  <si>
    <t xml:space="preserve">Type 3 - VCM</t>
  </si>
  <si>
    <t xml:space="preserve">Desired BW</t>
  </si>
  <si>
    <r>
      <rPr>
        <sz val="11"/>
        <color rgb="FF000000"/>
        <rFont val="Calibri"/>
        <family val="2"/>
        <charset val="1"/>
      </rPr>
      <t xml:space="preserve">&lt;0.5*f</t>
    </r>
    <r>
      <rPr>
        <vertAlign val="subscript"/>
        <sz val="11"/>
        <color rgb="FF000000"/>
        <rFont val="Calibri"/>
        <family val="2"/>
        <charset val="1"/>
      </rPr>
      <t xml:space="preserve">SW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</si>
  <si>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</si>
  <si>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</si>
  <si>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</si>
  <si>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t xml:space="preserve">nF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</si>
  <si>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</si>
  <si>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t xml:space="preserve">pF</t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</si>
  <si>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</si>
  <si>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t xml:space="preserve">Ohm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</si>
  <si>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</si>
  <si>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t xml:space="preserve">Type II compensation</t>
  </si>
  <si>
    <t xml:space="preserve">fp1</t>
  </si>
  <si>
    <t xml:space="preserve">Type 3 - CCM</t>
  </si>
  <si>
    <t xml:space="preserve">fz2</t>
  </si>
  <si>
    <t xml:space="preserve">Error amp DC gain</t>
  </si>
  <si>
    <t xml:space="preserve">V/V</t>
  </si>
  <si>
    <t xml:space="preserve">fp3</t>
  </si>
  <si>
    <t xml:space="preserve">Error amp gain gm</t>
  </si>
  <si>
    <t xml:space="preserve">uA/V</t>
  </si>
  <si>
    <t xml:space="preserve">Power stage gain gm</t>
  </si>
  <si>
    <t xml:space="preserve">A/V</t>
  </si>
  <si>
    <r>
      <rPr>
        <sz val="11"/>
        <color rgb="FF000000"/>
        <rFont val="Calibri"/>
        <family val="2"/>
        <charset val="1"/>
      </rPr>
      <t xml:space="preserve">&lt;0.1*f</t>
    </r>
    <r>
      <rPr>
        <vertAlign val="subscript"/>
        <sz val="11"/>
        <color rgb="FF000000"/>
        <rFont val="Calibri"/>
        <family val="2"/>
        <charset val="1"/>
      </rPr>
      <t xml:space="preserve">SW</t>
    </r>
  </si>
  <si>
    <t xml:space="preserve">Type III compensation</t>
  </si>
  <si>
    <t xml:space="preserve">fz3</t>
  </si>
  <si>
    <r>
      <rPr>
        <sz val="11"/>
        <color rgb="FF000000"/>
        <rFont val="Calibri"/>
        <family val="2"/>
        <charset val="1"/>
      </rPr>
      <t xml:space="preserve">Needed if f</t>
    </r>
    <r>
      <rPr>
        <vertAlign val="subscript"/>
        <sz val="11"/>
        <color rgb="FF000000"/>
        <rFont val="Calibri"/>
        <family val="2"/>
        <charset val="1"/>
      </rPr>
      <t xml:space="preserve">ESR</t>
    </r>
    <r>
      <rPr>
        <sz val="11"/>
        <color rgb="FF000000"/>
        <rFont val="Calibri"/>
        <family val="2"/>
        <charset val="1"/>
      </rPr>
      <t xml:space="preserve"> &lt; f</t>
    </r>
    <r>
      <rPr>
        <vertAlign val="subscript"/>
        <sz val="11"/>
        <color rgb="FF000000"/>
        <rFont val="Calibri"/>
        <family val="2"/>
        <charset val="1"/>
      </rPr>
      <t xml:space="preserve">SW</t>
    </r>
    <r>
      <rPr>
        <sz val="11"/>
        <color rgb="FF000000"/>
        <rFont val="Calibri"/>
        <family val="2"/>
        <charset val="1"/>
      </rPr>
      <t xml:space="preserve">/2</t>
    </r>
  </si>
  <si>
    <t xml:space="preserve">fp4</t>
  </si>
  <si>
    <t xml:space="preserve">fp5</t>
  </si>
  <si>
    <t xml:space="preserve">SLOW START</t>
  </si>
  <si>
    <t xml:space="preserve">Css</t>
  </si>
  <si>
    <t xml:space="preserve">&lt;27nF</t>
  </si>
  <si>
    <t xml:space="preserve">Iss</t>
  </si>
  <si>
    <t xml:space="preserve">Tss</t>
  </si>
  <si>
    <t xml:space="preserve">ms</t>
  </si>
  <si>
    <t xml:space="preserve">(1-10ms)</t>
  </si>
  <si>
    <t xml:space="preserve">ENABLE</t>
  </si>
  <si>
    <t xml:space="preserve">VEN</t>
  </si>
  <si>
    <t xml:space="preserve">(1.35V)</t>
  </si>
  <si>
    <t xml:space="preserve">Ren1</t>
  </si>
  <si>
    <t xml:space="preserve">Ren2</t>
  </si>
  <si>
    <t xml:space="preserve">VSTART</t>
  </si>
  <si>
    <t xml:space="preserve">VSTOP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</si>
</sst>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"/>
    <numFmt numFmtId="167" formatCode="0.0"/>
    <numFmt numFmtId="168" formatCode="0.000"/>
    <numFmt numFmtId="169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te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600120</xdr:colOff>
      <xdr:row>61</xdr:row>
      <xdr:rowOff>2160</xdr:rowOff>
    </xdr:from>
    <xdr:to>
      <xdr:col>10</xdr:col>
      <xdr:colOff>216360</xdr:colOff>
      <xdr:row>71</xdr:row>
      <xdr:rowOff>178200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334480" y="11386440"/>
          <a:ext cx="3304440" cy="208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457200</xdr:colOff>
      <xdr:row>74</xdr:row>
      <xdr:rowOff>33120</xdr:rowOff>
    </xdr:from>
    <xdr:to>
      <xdr:col>11</xdr:col>
      <xdr:colOff>380160</xdr:colOff>
      <xdr:row>80</xdr:row>
      <xdr:rowOff>128160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7043400" y="13916520"/>
          <a:ext cx="2371320" cy="122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503640</xdr:colOff>
      <xdr:row>80</xdr:row>
      <xdr:rowOff>172440</xdr:rowOff>
    </xdr:from>
    <xdr:to>
      <xdr:col>12</xdr:col>
      <xdr:colOff>423720</xdr:colOff>
      <xdr:row>88</xdr:row>
      <xdr:rowOff>56880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7089840" y="15183720"/>
          <a:ext cx="2980800" cy="1438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oilcraft.com/pdfs/xal60xx.pdf" TargetMode="External"/><Relationship Id="rId2" Type="http://schemas.openxmlformats.org/officeDocument/2006/relationships/hyperlink" Target="http://www.bourns.com/data/global/pdfs/SRN5040.pdf" TargetMode="External"/><Relationship Id="rId3" Type="http://schemas.openxmlformats.org/officeDocument/2006/relationships/hyperlink" Target="https://www.fairchildsemi.com/datasheets/SS/SS14.pdf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1" activeCellId="0" sqref="B41"/>
    </sheetView>
  </sheetViews>
  <sheetFormatPr defaultRowHeight="14.4" outlineLevelRow="0" outlineLevelCol="0"/>
  <cols>
    <col collapsed="false" customWidth="true" hidden="false" outlineLevel="0" max="1" min="1" style="0" width="20.66"/>
    <col collapsed="false" customWidth="true" hidden="false" outlineLevel="0" max="2" min="2" style="0" width="12.66"/>
    <col collapsed="false" customWidth="false" hidden="false" outlineLevel="0" max="3" min="3" style="0" width="11.45"/>
    <col collapsed="false" customWidth="true" hidden="false" outlineLevel="0" max="4" min="4" style="0" width="22.33"/>
    <col collapsed="false" customWidth="true" hidden="false" outlineLevel="0" max="6" min="5" style="0" width="8.67"/>
    <col collapsed="false" customWidth="true" hidden="false" outlineLevel="0" max="7" min="7" style="0" width="8.89"/>
    <col collapsed="false" customWidth="true" hidden="false" outlineLevel="0" max="1025" min="8" style="0" width="8.67"/>
  </cols>
  <sheetData>
    <row r="1" customFormat="false" ht="14.4" hidden="false" customHeight="false" outlineLevel="0" collapsed="false">
      <c r="A1" s="1" t="s">
        <v>0</v>
      </c>
      <c r="B1" s="2"/>
      <c r="C1" s="2"/>
      <c r="D1" s="3"/>
    </row>
    <row r="2" customFormat="false" ht="14.4" hidden="false" customHeight="false" outlineLevel="0" collapsed="false">
      <c r="A2" s="4" t="s">
        <v>1</v>
      </c>
      <c r="B2" s="5" t="n">
        <v>12</v>
      </c>
      <c r="C2" s="0" t="s">
        <v>2</v>
      </c>
      <c r="D2" s="6"/>
    </row>
    <row r="3" customFormat="false" ht="14.4" hidden="false" customHeight="false" outlineLevel="0" collapsed="false">
      <c r="A3" s="4" t="s">
        <v>3</v>
      </c>
      <c r="B3" s="5" t="n">
        <v>12</v>
      </c>
      <c r="C3" s="0" t="s">
        <v>2</v>
      </c>
      <c r="D3" s="7"/>
    </row>
    <row r="4" customFormat="false" ht="14.4" hidden="false" customHeight="false" outlineLevel="0" collapsed="false">
      <c r="A4" s="4" t="s">
        <v>4</v>
      </c>
      <c r="B4" s="8" t="n">
        <f aca="false">B59</f>
        <v>5.24444444444444</v>
      </c>
      <c r="C4" s="0" t="s">
        <v>2</v>
      </c>
      <c r="D4" s="7" t="s">
        <v>5</v>
      </c>
    </row>
    <row r="5" customFormat="false" ht="14.4" hidden="false" customHeight="false" outlineLevel="0" collapsed="false">
      <c r="A5" s="4" t="s">
        <v>6</v>
      </c>
      <c r="B5" s="5" t="n">
        <v>1</v>
      </c>
      <c r="C5" s="0" t="s">
        <v>7</v>
      </c>
      <c r="D5" s="7" t="s">
        <v>8</v>
      </c>
    </row>
    <row r="6" customFormat="false" ht="14.4" hidden="false" customHeight="false" outlineLevel="0" collapsed="false">
      <c r="A6" s="4" t="s">
        <v>9</v>
      </c>
      <c r="B6" s="9" t="n">
        <v>1</v>
      </c>
      <c r="C6" s="0" t="s">
        <v>10</v>
      </c>
      <c r="D6" s="7"/>
    </row>
    <row r="7" customFormat="false" ht="14.4" hidden="false" customHeight="false" outlineLevel="0" collapsed="false">
      <c r="A7" s="4"/>
      <c r="D7" s="7"/>
    </row>
    <row r="8" customFormat="false" ht="15.6" hidden="false" customHeight="false" outlineLevel="0" collapsed="false">
      <c r="A8" s="4" t="s">
        <v>11</v>
      </c>
      <c r="B8" s="8" t="n">
        <f aca="false">0.15*B5*(95/80)</f>
        <v>0.178125</v>
      </c>
      <c r="C8" s="0" t="s">
        <v>2</v>
      </c>
      <c r="D8" s="7"/>
    </row>
    <row r="9" customFormat="false" ht="14.4" hidden="false" customHeight="false" outlineLevel="0" collapsed="false">
      <c r="A9" s="4" t="s">
        <v>12</v>
      </c>
      <c r="B9" s="10" t="n">
        <v>85</v>
      </c>
      <c r="C9" s="0" t="s">
        <v>13</v>
      </c>
      <c r="D9" s="7"/>
    </row>
    <row r="10" customFormat="false" ht="14.4" hidden="false" customHeight="false" outlineLevel="0" collapsed="false">
      <c r="A10" s="4"/>
      <c r="B10" s="10"/>
      <c r="D10" s="7"/>
    </row>
    <row r="11" customFormat="false" ht="14.4" hidden="false" customHeight="false" outlineLevel="0" collapsed="false">
      <c r="A11" s="4" t="s">
        <v>14</v>
      </c>
      <c r="B11" s="11" t="n">
        <f aca="false">(B58+B45+(B24*B5/1000))/(B2+B45+(B24*B5/1000)-B8)</f>
        <v>0.492754056286132</v>
      </c>
      <c r="D11" s="7" t="s">
        <v>15</v>
      </c>
    </row>
    <row r="12" customFormat="false" ht="14.4" hidden="false" customHeight="false" outlineLevel="0" collapsed="false">
      <c r="A12" s="4" t="s">
        <v>16</v>
      </c>
      <c r="B12" s="11" t="n">
        <f aca="false">(B60+B45+(B24*B5/1000))/(B3+B45+(B24*B5/1000)-B8)</f>
        <v>0.448882346347842</v>
      </c>
      <c r="D12" s="7" t="s">
        <v>17</v>
      </c>
    </row>
    <row r="13" customFormat="false" ht="14.4" hidden="false" customHeight="false" outlineLevel="0" collapsed="false">
      <c r="A13" s="4" t="s">
        <v>18</v>
      </c>
      <c r="B13" s="0" t="n">
        <v>0.35</v>
      </c>
      <c r="D13" s="7" t="s">
        <v>19</v>
      </c>
    </row>
    <row r="14" customFormat="false" ht="15" hidden="false" customHeight="false" outlineLevel="0" collapsed="false">
      <c r="A14" s="4"/>
      <c r="B14" s="11"/>
      <c r="D14" s="7"/>
    </row>
    <row r="15" customFormat="false" ht="15" hidden="false" customHeight="false" outlineLevel="0" collapsed="false">
      <c r="A15" s="4" t="s">
        <v>20</v>
      </c>
      <c r="B15" s="12" t="n">
        <f aca="false">(1-B12)*(B4+B45)/(B5*B13*B6)</f>
        <v>9.12405893268572</v>
      </c>
      <c r="C15" s="0" t="s">
        <v>21</v>
      </c>
      <c r="D15" s="7" t="s">
        <v>22</v>
      </c>
    </row>
    <row r="16" customFormat="false" ht="15.6" hidden="false" customHeight="false" outlineLevel="0" collapsed="false">
      <c r="A16" s="4" t="s">
        <v>23</v>
      </c>
      <c r="B16" s="8" t="n">
        <f aca="false">B5*(1+B13/2)</f>
        <v>1.175</v>
      </c>
      <c r="C16" s="0" t="s">
        <v>7</v>
      </c>
      <c r="D16" s="7"/>
    </row>
    <row r="17" customFormat="false" ht="14.4" hidden="false" customHeight="false" outlineLevel="0" collapsed="false">
      <c r="A17" s="4"/>
      <c r="B17" s="13"/>
      <c r="D17" s="7"/>
      <c r="E17" s="13"/>
    </row>
    <row r="18" customFormat="false" ht="14.4" hidden="false" customHeight="false" outlineLevel="0" collapsed="false">
      <c r="A18" s="4"/>
      <c r="D18" s="7"/>
    </row>
    <row r="19" customFormat="false" ht="14.4" hidden="false" customHeight="false" outlineLevel="0" collapsed="false">
      <c r="A19" s="4" t="s">
        <v>24</v>
      </c>
      <c r="B19" s="11" t="n">
        <f aca="false">B5*B13/2</f>
        <v>0.175</v>
      </c>
      <c r="C19" s="0" t="s">
        <v>7</v>
      </c>
      <c r="D19" s="7"/>
    </row>
    <row r="20" customFormat="false" ht="14.4" hidden="false" customHeight="false" outlineLevel="0" collapsed="false">
      <c r="A20" s="14"/>
      <c r="B20" s="15"/>
      <c r="C20" s="15"/>
      <c r="D20" s="16"/>
    </row>
    <row r="21" customFormat="false" ht="14.4" hidden="false" customHeight="false" outlineLevel="0" collapsed="false">
      <c r="A21" s="17" t="s">
        <v>25</v>
      </c>
      <c r="D21" s="7"/>
      <c r="K21" s="18"/>
    </row>
    <row r="22" customFormat="false" ht="14.4" hidden="false" customHeight="false" outlineLevel="0" collapsed="false">
      <c r="A22" s="4" t="s">
        <v>26</v>
      </c>
      <c r="B22" s="19" t="s">
        <v>27</v>
      </c>
      <c r="C22" s="0" t="s">
        <v>28</v>
      </c>
      <c r="D22" s="7"/>
      <c r="K22" s="18"/>
    </row>
    <row r="23" customFormat="false" ht="14.4" hidden="false" customHeight="false" outlineLevel="0" collapsed="false">
      <c r="A23" s="4" t="s">
        <v>20</v>
      </c>
      <c r="B23" s="20" t="n">
        <v>10</v>
      </c>
      <c r="C23" s="0" t="s">
        <v>21</v>
      </c>
      <c r="D23" s="7" t="s">
        <v>29</v>
      </c>
      <c r="E23" s="18" t="s">
        <v>30</v>
      </c>
      <c r="F23" s="21"/>
      <c r="I23" s="21"/>
      <c r="K23" s="18"/>
    </row>
    <row r="24" customFormat="false" ht="15.6" hidden="false" customHeight="false" outlineLevel="0" collapsed="false">
      <c r="A24" s="4" t="s">
        <v>31</v>
      </c>
      <c r="B24" s="20" t="n">
        <v>50</v>
      </c>
      <c r="C24" s="0" t="s">
        <v>32</v>
      </c>
      <c r="D24" s="7"/>
      <c r="E24" s="18" t="s">
        <v>33</v>
      </c>
    </row>
    <row r="25" customFormat="false" ht="14.4" hidden="false" customHeight="false" outlineLevel="0" collapsed="false">
      <c r="A25" s="4" t="s">
        <v>18</v>
      </c>
      <c r="B25" s="11" t="n">
        <f aca="false">(B4+B45)*(1-B12)/(B5*B23*B6)</f>
        <v>0.319342062644</v>
      </c>
      <c r="C25" s="0" t="s">
        <v>34</v>
      </c>
      <c r="D25" s="7"/>
      <c r="E25" s="18"/>
    </row>
    <row r="26" customFormat="false" ht="14.4" hidden="false" customHeight="false" outlineLevel="0" collapsed="false">
      <c r="A26" s="4" t="s">
        <v>24</v>
      </c>
      <c r="B26" s="11" t="n">
        <f aca="false">B5*B25/2</f>
        <v>0.159671031322</v>
      </c>
      <c r="C26" s="0" t="s">
        <v>7</v>
      </c>
      <c r="D26" s="7"/>
    </row>
    <row r="27" customFormat="false" ht="15.6" hidden="false" customHeight="false" outlineLevel="0" collapsed="false">
      <c r="A27" s="4" t="s">
        <v>23</v>
      </c>
      <c r="B27" s="8" t="n">
        <f aca="false">B5*(1+B25/2)</f>
        <v>1.159671031322</v>
      </c>
      <c r="C27" s="0" t="s">
        <v>7</v>
      </c>
      <c r="D27" s="7" t="s">
        <v>35</v>
      </c>
      <c r="E27" s="18"/>
    </row>
    <row r="28" customFormat="false" ht="14.4" hidden="false" customHeight="false" outlineLevel="0" collapsed="false">
      <c r="A28" s="4" t="s">
        <v>36</v>
      </c>
      <c r="B28" s="8" t="n">
        <f aca="false">B4*B5/(B4*B5+(B5*B5*0.15*B11+B3*B5*B6*1000000*0.00000001+0.0024*B3+0.0082*4.5+B45*2*(1-B12)+B5*B5*B24/1000))</f>
        <v>0.85133119095958</v>
      </c>
      <c r="D28" s="7"/>
    </row>
    <row r="29" customFormat="false" ht="15.6" hidden="false" customHeight="false" outlineLevel="0" collapsed="false">
      <c r="A29" s="14" t="s">
        <v>37</v>
      </c>
      <c r="B29" s="22" t="n">
        <f aca="false">B5*B8*B11+(B3*B5*B6*0.01)+B9*B3/1000000</f>
        <v>0.208791816275967</v>
      </c>
      <c r="C29" s="15" t="s">
        <v>38</v>
      </c>
      <c r="D29" s="16"/>
      <c r="E29" s="18"/>
    </row>
    <row r="30" customFormat="false" ht="14.4" hidden="false" customHeight="false" outlineLevel="0" collapsed="false">
      <c r="A30" s="17" t="s">
        <v>39</v>
      </c>
      <c r="D30" s="7"/>
    </row>
    <row r="31" customFormat="false" ht="14.4" hidden="false" customHeight="false" outlineLevel="0" collapsed="false">
      <c r="A31" s="4" t="s">
        <v>40</v>
      </c>
      <c r="B31" s="8" t="n">
        <f aca="false">B5*SQRT(B11*(1-B11+B25*B25/12))</f>
        <v>0.504118099211516</v>
      </c>
      <c r="C31" s="0" t="s">
        <v>7</v>
      </c>
      <c r="D31" s="7" t="s">
        <v>41</v>
      </c>
    </row>
    <row r="32" customFormat="false" ht="15.6" hidden="false" customHeight="false" outlineLevel="0" collapsed="false">
      <c r="A32" s="4" t="s">
        <v>42</v>
      </c>
      <c r="C32" s="0" t="s">
        <v>43</v>
      </c>
      <c r="D32" s="7"/>
    </row>
    <row r="33" customFormat="false" ht="15.6" hidden="false" customHeight="false" outlineLevel="0" collapsed="false">
      <c r="A33" s="4" t="s">
        <v>44</v>
      </c>
      <c r="B33" s="20" t="n">
        <v>10</v>
      </c>
      <c r="C33" s="0" t="s">
        <v>43</v>
      </c>
      <c r="D33" s="7"/>
    </row>
    <row r="34" customFormat="false" ht="15.6" hidden="false" customHeight="false" outlineLevel="0" collapsed="false">
      <c r="A34" s="4" t="s">
        <v>45</v>
      </c>
      <c r="B34" s="20" t="n">
        <v>5</v>
      </c>
      <c r="C34" s="0" t="s">
        <v>32</v>
      </c>
      <c r="D34" s="7"/>
    </row>
    <row r="35" customFormat="false" ht="14.4" hidden="false" customHeight="false" outlineLevel="0" collapsed="false">
      <c r="A35" s="4" t="s">
        <v>46</v>
      </c>
      <c r="B35" s="23" t="n">
        <f aca="false">1000*((B5*0.25)/(B33*B6)+(B5*B34/1000))</f>
        <v>30</v>
      </c>
      <c r="C35" s="0" t="s">
        <v>47</v>
      </c>
      <c r="D35" s="7"/>
    </row>
    <row r="36" customFormat="false" ht="14.4" hidden="false" customHeight="false" outlineLevel="0" collapsed="false">
      <c r="A36" s="14"/>
      <c r="B36" s="15"/>
      <c r="C36" s="15"/>
      <c r="D36" s="16"/>
    </row>
    <row r="37" customFormat="false" ht="14.4" hidden="false" customHeight="false" outlineLevel="0" collapsed="false">
      <c r="A37" s="17" t="s">
        <v>48</v>
      </c>
      <c r="D37" s="7"/>
    </row>
    <row r="38" customFormat="false" ht="14.4" hidden="false" customHeight="false" outlineLevel="0" collapsed="false">
      <c r="A38" s="4" t="s">
        <v>49</v>
      </c>
      <c r="B38" s="11" t="n">
        <f aca="false">B5*B25/SQRT(12)</f>
        <v>0.092186112915542</v>
      </c>
      <c r="C38" s="0" t="s">
        <v>7</v>
      </c>
      <c r="D38" s="7"/>
    </row>
    <row r="39" customFormat="false" ht="15.6" hidden="false" customHeight="false" outlineLevel="0" collapsed="false">
      <c r="A39" s="4" t="s">
        <v>50</v>
      </c>
      <c r="B39" s="8" t="n">
        <f aca="false">B25*B5/(8*B6*0.01)</f>
        <v>3.99177578305</v>
      </c>
      <c r="C39" s="0" t="s">
        <v>43</v>
      </c>
      <c r="D39" s="7"/>
    </row>
    <row r="40" customFormat="false" ht="15.6" hidden="false" customHeight="false" outlineLevel="0" collapsed="false">
      <c r="A40" s="4" t="s">
        <v>51</v>
      </c>
      <c r="B40" s="20" t="n">
        <v>47</v>
      </c>
      <c r="C40" s="0" t="s">
        <v>43</v>
      </c>
      <c r="D40" s="7" t="s">
        <v>52</v>
      </c>
    </row>
    <row r="41" customFormat="false" ht="15.6" hidden="false" customHeight="false" outlineLevel="0" collapsed="false">
      <c r="A41" s="4" t="s">
        <v>45</v>
      </c>
      <c r="B41" s="20" t="n">
        <v>5</v>
      </c>
      <c r="C41" s="0" t="s">
        <v>32</v>
      </c>
      <c r="D41" s="7"/>
    </row>
    <row r="42" customFormat="false" ht="14.4" hidden="false" customHeight="false" outlineLevel="0" collapsed="false">
      <c r="A42" s="4" t="s">
        <v>53</v>
      </c>
      <c r="B42" s="10" t="n">
        <f aca="false">B25*B5*(B41/1000+1/(8*B6*B40))*1000</f>
        <v>2.44602430961362</v>
      </c>
      <c r="C42" s="0" t="s">
        <v>47</v>
      </c>
      <c r="D42" s="7"/>
    </row>
    <row r="43" customFormat="false" ht="14.4" hidden="false" customHeight="false" outlineLevel="0" collapsed="false">
      <c r="A43" s="14"/>
      <c r="B43" s="15"/>
      <c r="C43" s="15"/>
      <c r="D43" s="16"/>
    </row>
    <row r="44" customFormat="false" ht="14.4" hidden="false" customHeight="false" outlineLevel="0" collapsed="false">
      <c r="A44" s="17" t="s">
        <v>54</v>
      </c>
      <c r="D44" s="7"/>
    </row>
    <row r="45" customFormat="false" ht="14.4" hidden="false" customHeight="false" outlineLevel="0" collapsed="false">
      <c r="A45" s="4" t="s">
        <v>55</v>
      </c>
      <c r="B45" s="0" t="n">
        <v>0.55</v>
      </c>
      <c r="C45" s="0" t="s">
        <v>2</v>
      </c>
      <c r="D45" s="7"/>
      <c r="E45" s="18" t="s">
        <v>56</v>
      </c>
    </row>
    <row r="46" customFormat="false" ht="14.4" hidden="false" customHeight="false" outlineLevel="0" collapsed="false">
      <c r="A46" s="4" t="s">
        <v>57</v>
      </c>
      <c r="B46" s="8" t="n">
        <f aca="false">B5*(1-B12)</f>
        <v>0.551117653652158</v>
      </c>
      <c r="C46" s="0" t="s">
        <v>7</v>
      </c>
      <c r="D46" s="7" t="s">
        <v>58</v>
      </c>
    </row>
    <row r="47" customFormat="false" ht="14.4" hidden="false" customHeight="false" outlineLevel="0" collapsed="false">
      <c r="A47" s="4" t="s">
        <v>59</v>
      </c>
      <c r="B47" s="8" t="n">
        <f aca="false">B3+0.5</f>
        <v>12.5</v>
      </c>
      <c r="C47" s="0" t="s">
        <v>2</v>
      </c>
      <c r="D47" s="7" t="s">
        <v>60</v>
      </c>
    </row>
    <row r="48" customFormat="false" ht="14.4" hidden="false" customHeight="false" outlineLevel="0" collapsed="false">
      <c r="A48" s="4"/>
      <c r="B48" s="8"/>
      <c r="D48" s="7"/>
    </row>
    <row r="49" customFormat="false" ht="14.4" hidden="false" customHeight="false" outlineLevel="0" collapsed="false">
      <c r="A49" s="24" t="s">
        <v>61</v>
      </c>
      <c r="B49" s="25"/>
      <c r="C49" s="25"/>
      <c r="D49" s="26"/>
    </row>
    <row r="50" customFormat="false" ht="15.6" hidden="false" customHeight="false" outlineLevel="0" collapsed="false">
      <c r="A50" s="4" t="s">
        <v>62</v>
      </c>
      <c r="B50" s="0" t="n">
        <v>0.772</v>
      </c>
      <c r="C50" s="0" t="s">
        <v>2</v>
      </c>
      <c r="D50" s="7"/>
    </row>
    <row r="51" customFormat="false" ht="15.6" hidden="false" customHeight="false" outlineLevel="0" collapsed="false">
      <c r="A51" s="4" t="s">
        <v>63</v>
      </c>
      <c r="B51" s="0" t="n">
        <v>0.8</v>
      </c>
      <c r="C51" s="0" t="s">
        <v>2</v>
      </c>
      <c r="D51" s="7"/>
    </row>
    <row r="52" customFormat="false" ht="15.6" hidden="false" customHeight="false" outlineLevel="0" collapsed="false">
      <c r="A52" s="4" t="s">
        <v>64</v>
      </c>
      <c r="B52" s="0" t="n">
        <v>0.828</v>
      </c>
      <c r="C52" s="0" t="s">
        <v>2</v>
      </c>
      <c r="D52" s="7"/>
    </row>
    <row r="53" customFormat="false" ht="14.4" hidden="false" customHeight="false" outlineLevel="0" collapsed="false">
      <c r="A53" s="14"/>
      <c r="B53" s="15"/>
      <c r="C53" s="15"/>
      <c r="D53" s="16"/>
    </row>
    <row r="54" customFormat="false" ht="14.4" hidden="false" customHeight="false" outlineLevel="0" collapsed="false">
      <c r="A54" s="17" t="s">
        <v>65</v>
      </c>
      <c r="D54" s="7"/>
    </row>
    <row r="55" customFormat="false" ht="14.4" hidden="false" customHeight="false" outlineLevel="0" collapsed="false">
      <c r="A55" s="4" t="s">
        <v>66</v>
      </c>
      <c r="B55" s="5" t="n">
        <v>10</v>
      </c>
      <c r="C55" s="0" t="s">
        <v>67</v>
      </c>
      <c r="D55" s="7"/>
    </row>
    <row r="56" customFormat="false" ht="14.4" hidden="false" customHeight="false" outlineLevel="0" collapsed="false">
      <c r="A56" s="4" t="s">
        <v>68</v>
      </c>
      <c r="B56" s="20" t="n">
        <v>1.8</v>
      </c>
      <c r="C56" s="0" t="s">
        <v>67</v>
      </c>
      <c r="D56" s="7"/>
    </row>
    <row r="57" customFormat="false" ht="14.4" hidden="false" customHeight="false" outlineLevel="0" collapsed="false">
      <c r="A57" s="4" t="s">
        <v>69</v>
      </c>
      <c r="B57" s="0" t="n">
        <v>1</v>
      </c>
      <c r="C57" s="0" t="s">
        <v>70</v>
      </c>
      <c r="D57" s="7"/>
    </row>
    <row r="58" customFormat="false" ht="14.4" hidden="false" customHeight="false" outlineLevel="0" collapsed="false">
      <c r="A58" s="4" t="s">
        <v>71</v>
      </c>
      <c r="B58" s="8" t="n">
        <f aca="false">B52*(1+(B55*(1+B57/100))/(B56*(1-B57/100)))</f>
        <v>5.52092929292929</v>
      </c>
      <c r="C58" s="0" t="s">
        <v>2</v>
      </c>
      <c r="D58" s="7" t="s">
        <v>72</v>
      </c>
    </row>
    <row r="59" customFormat="false" ht="14.4" hidden="false" customHeight="false" outlineLevel="0" collapsed="false">
      <c r="A59" s="4" t="s">
        <v>4</v>
      </c>
      <c r="B59" s="8" t="n">
        <f aca="false">(1+B55/B56)*B51</f>
        <v>5.24444444444444</v>
      </c>
      <c r="C59" s="0" t="s">
        <v>2</v>
      </c>
      <c r="D59" s="27"/>
    </row>
    <row r="60" customFormat="false" ht="14.4" hidden="false" customHeight="false" outlineLevel="0" collapsed="false">
      <c r="A60" s="4" t="s">
        <v>73</v>
      </c>
      <c r="B60" s="8" t="n">
        <f aca="false">B50*(1+(B55*(1-B57/100))/(B56*(1+B57/100)))</f>
        <v>4.9759603960396</v>
      </c>
      <c r="C60" s="0" t="s">
        <v>2</v>
      </c>
      <c r="D60" s="7"/>
    </row>
    <row r="61" customFormat="false" ht="14.4" hidden="false" customHeight="false" outlineLevel="0" collapsed="false">
      <c r="A61" s="14"/>
      <c r="B61" s="15"/>
      <c r="C61" s="15"/>
      <c r="D61" s="16"/>
    </row>
    <row r="62" customFormat="false" ht="14.4" hidden="false" customHeight="false" outlineLevel="0" collapsed="false">
      <c r="A62" s="17" t="s">
        <v>74</v>
      </c>
      <c r="D62" s="7"/>
    </row>
    <row r="63" customFormat="false" ht="15.6" hidden="false" customHeight="false" outlineLevel="0" collapsed="false">
      <c r="A63" s="4" t="s">
        <v>75</v>
      </c>
      <c r="B63" s="10" t="n">
        <f aca="false">0.001/(2*PI()*SQRT(B23*0.000001*B40*0.000001))</f>
        <v>7.34127009571673</v>
      </c>
      <c r="C63" s="0" t="s">
        <v>76</v>
      </c>
      <c r="D63" s="7" t="s">
        <v>77</v>
      </c>
    </row>
    <row r="64" customFormat="false" ht="15.6" hidden="false" customHeight="false" outlineLevel="0" collapsed="false">
      <c r="A64" s="4" t="s">
        <v>78</v>
      </c>
      <c r="B64" s="10" t="n">
        <f aca="false">0.001/(2*PI()*B41*0.001*B40*0.000001)</f>
        <v>677.255076986789</v>
      </c>
      <c r="C64" s="0" t="s">
        <v>76</v>
      </c>
      <c r="D64" s="7" t="s">
        <v>79</v>
      </c>
    </row>
    <row r="65" customFormat="false" ht="15.6" hidden="false" customHeight="false" outlineLevel="0" collapsed="false">
      <c r="A65" s="4" t="s">
        <v>80</v>
      </c>
      <c r="B65" s="10" t="n">
        <f aca="false">B5/(2*PI()*B40*0.000001*B4)</f>
        <v>645.688103059438</v>
      </c>
      <c r="C65" s="0" t="s">
        <v>81</v>
      </c>
      <c r="D65" s="7" t="s">
        <v>82</v>
      </c>
    </row>
    <row r="66" customFormat="false" ht="14.4" hidden="false" customHeight="false" outlineLevel="0" collapsed="false">
      <c r="A66" s="4" t="s">
        <v>83</v>
      </c>
      <c r="B66" s="28" t="s">
        <v>84</v>
      </c>
      <c r="D66" s="7"/>
    </row>
    <row r="67" customFormat="false" ht="14.4" hidden="false" customHeight="false" outlineLevel="0" collapsed="false">
      <c r="A67" s="4" t="s">
        <v>85</v>
      </c>
      <c r="B67" s="13" t="str">
        <f aca="false">IF(OR(B64/B63&lt;5, B66="Current"),"Type 2","Type 3")</f>
        <v>Type 2</v>
      </c>
      <c r="D67" s="7"/>
    </row>
    <row r="68" customFormat="false" ht="14.4" hidden="false" customHeight="false" outlineLevel="0" collapsed="false">
      <c r="A68" s="4"/>
      <c r="B68" s="13"/>
      <c r="D68" s="7"/>
    </row>
    <row r="69" customFormat="false" ht="14.4" hidden="false" customHeight="false" outlineLevel="0" collapsed="false">
      <c r="A69" s="17" t="s">
        <v>86</v>
      </c>
      <c r="D69" s="7"/>
    </row>
    <row r="70" customFormat="false" ht="15.6" hidden="false" customHeight="false" outlineLevel="0" collapsed="false">
      <c r="A70" s="4" t="s">
        <v>87</v>
      </c>
      <c r="B70" s="20" t="n">
        <f aca="false">300*B6</f>
        <v>300</v>
      </c>
      <c r="C70" s="0" t="s">
        <v>76</v>
      </c>
      <c r="D70" s="7" t="s">
        <v>88</v>
      </c>
    </row>
    <row r="71" customFormat="false" ht="15.6" hidden="false" customHeight="false" outlineLevel="0" collapsed="false">
      <c r="A71" s="4" t="s">
        <v>89</v>
      </c>
      <c r="B71" s="0" t="n">
        <f aca="false">B55</f>
        <v>10</v>
      </c>
      <c r="C71" s="0" t="s">
        <v>67</v>
      </c>
      <c r="D71" s="7"/>
    </row>
    <row r="72" customFormat="false" ht="15.6" hidden="false" customHeight="false" outlineLevel="0" collapsed="false">
      <c r="A72" s="4" t="s">
        <v>90</v>
      </c>
      <c r="B72" s="10" t="n">
        <f aca="false">(B70/B63)*0.45*B71</f>
        <v>183.891885518237</v>
      </c>
      <c r="C72" s="0" t="s">
        <v>67</v>
      </c>
      <c r="D72" s="7"/>
    </row>
    <row r="73" customFormat="false" ht="15.6" hidden="false" customHeight="false" outlineLevel="0" collapsed="false">
      <c r="A73" s="4" t="s">
        <v>91</v>
      </c>
      <c r="B73" s="11" t="n">
        <f aca="false">1000/(PI()*B72*B63)</f>
        <v>0.235785100876882</v>
      </c>
      <c r="C73" s="0" t="s">
        <v>92</v>
      </c>
      <c r="D73" s="7"/>
    </row>
    <row r="74" customFormat="false" ht="15.6" hidden="false" customHeight="false" outlineLevel="0" collapsed="false">
      <c r="A74" s="4" t="s">
        <v>93</v>
      </c>
      <c r="B74" s="10" t="n">
        <f aca="false">B73*1000000/(2*PI()*B72*B73*B64-1)</f>
        <v>1.27793172066446</v>
      </c>
      <c r="C74" s="0" t="s">
        <v>94</v>
      </c>
      <c r="D74" s="7"/>
    </row>
    <row r="75" customFormat="false" ht="15.6" hidden="false" customHeight="false" outlineLevel="0" collapsed="false">
      <c r="A75" s="4" t="s">
        <v>95</v>
      </c>
      <c r="B75" s="23" t="n">
        <f aca="false">B71*1000/(B6*500/B63-1)</f>
        <v>149.013295616279</v>
      </c>
      <c r="C75" s="0" t="s">
        <v>96</v>
      </c>
      <c r="D75" s="7"/>
    </row>
    <row r="76" customFormat="false" ht="15.6" hidden="false" customHeight="false" outlineLevel="0" collapsed="false">
      <c r="A76" s="4" t="s">
        <v>97</v>
      </c>
      <c r="B76" s="11" t="n">
        <f aca="false">1000/(PI()*B75*B6)</f>
        <v>2.1361173502495</v>
      </c>
      <c r="C76" s="0" t="s">
        <v>92</v>
      </c>
      <c r="D76" s="7"/>
      <c r="F76" s="0" t="s">
        <v>98</v>
      </c>
    </row>
    <row r="77" customFormat="false" ht="14.4" hidden="false" customHeight="false" outlineLevel="0" collapsed="false">
      <c r="A77" s="4"/>
      <c r="D77" s="7"/>
      <c r="F77" s="0" t="s">
        <v>99</v>
      </c>
      <c r="G77" s="23" t="n">
        <f aca="false">1/(2*PI()*B79*B85*0.001/B80)</f>
        <v>3.59375</v>
      </c>
      <c r="H77" s="0" t="s">
        <v>81</v>
      </c>
    </row>
    <row r="78" customFormat="false" ht="14.4" hidden="false" customHeight="false" outlineLevel="0" collapsed="false">
      <c r="A78" s="17" t="s">
        <v>100</v>
      </c>
      <c r="D78" s="7"/>
      <c r="F78" s="0" t="s">
        <v>101</v>
      </c>
      <c r="G78" s="23" t="n">
        <f aca="false">1/(2*PI()*B84*B85*0.000001)</f>
        <v>645.688103059439</v>
      </c>
      <c r="H78" s="0" t="s">
        <v>81</v>
      </c>
    </row>
    <row r="79" customFormat="false" ht="14.4" hidden="false" customHeight="false" outlineLevel="0" collapsed="false">
      <c r="A79" s="4" t="s">
        <v>102</v>
      </c>
      <c r="B79" s="20" t="n">
        <v>800</v>
      </c>
      <c r="C79" s="0" t="s">
        <v>103</v>
      </c>
      <c r="D79" s="7"/>
      <c r="F79" s="0" t="s">
        <v>104</v>
      </c>
      <c r="G79" s="0" t="n">
        <f aca="false">1/(2*PI()*B84*B86*0.000000001)</f>
        <v>677255.076986789</v>
      </c>
      <c r="H79" s="0" t="s">
        <v>81</v>
      </c>
    </row>
    <row r="80" customFormat="false" ht="14.4" hidden="false" customHeight="false" outlineLevel="0" collapsed="false">
      <c r="A80" s="4" t="s">
        <v>105</v>
      </c>
      <c r="B80" s="20" t="n">
        <v>92</v>
      </c>
      <c r="C80" s="0" t="s">
        <v>106</v>
      </c>
      <c r="D80" s="7"/>
    </row>
    <row r="81" customFormat="false" ht="14.4" hidden="false" customHeight="false" outlineLevel="0" collapsed="false">
      <c r="A81" s="4" t="s">
        <v>107</v>
      </c>
      <c r="B81" s="20" t="n">
        <v>10</v>
      </c>
      <c r="C81" s="0" t="s">
        <v>108</v>
      </c>
      <c r="D81" s="7"/>
      <c r="G81" s="11"/>
    </row>
    <row r="82" customFormat="false" ht="15.6" hidden="false" customHeight="false" outlineLevel="0" collapsed="false">
      <c r="A82" s="4" t="s">
        <v>87</v>
      </c>
      <c r="B82" s="29" t="n">
        <v>23</v>
      </c>
      <c r="C82" s="0" t="s">
        <v>76</v>
      </c>
      <c r="D82" s="7" t="s">
        <v>109</v>
      </c>
      <c r="F82" s="0" t="s">
        <v>110</v>
      </c>
    </row>
    <row r="83" customFormat="false" ht="15.6" hidden="false" customHeight="false" outlineLevel="0" collapsed="false">
      <c r="A83" s="4" t="s">
        <v>89</v>
      </c>
      <c r="B83" s="0" t="n">
        <f aca="false">B55</f>
        <v>10</v>
      </c>
      <c r="C83" s="0" t="s">
        <v>67</v>
      </c>
      <c r="D83" s="7"/>
      <c r="F83" s="0" t="s">
        <v>99</v>
      </c>
      <c r="G83" s="23" t="n">
        <f aca="false">1/(2*PI()*B79*B85*0.001/B80)</f>
        <v>3.59375</v>
      </c>
      <c r="H83" s="0" t="s">
        <v>81</v>
      </c>
    </row>
    <row r="84" customFormat="false" ht="15.6" hidden="false" customHeight="false" outlineLevel="0" collapsed="false">
      <c r="A84" s="4" t="s">
        <v>90</v>
      </c>
      <c r="B84" s="10" t="n">
        <f aca="false">2*PI()*B82*B4*B40/(B80*B51*B81)</f>
        <v>48.3979801578027</v>
      </c>
      <c r="C84" s="0" t="s">
        <v>67</v>
      </c>
      <c r="D84" s="7"/>
      <c r="F84" s="0" t="s">
        <v>101</v>
      </c>
      <c r="G84" s="23" t="n">
        <f aca="false">1/(2*PI()*B84*B85*0.000001)</f>
        <v>645.688103059439</v>
      </c>
      <c r="H84" s="0" t="s">
        <v>81</v>
      </c>
    </row>
    <row r="85" customFormat="false" ht="15.6" hidden="false" customHeight="false" outlineLevel="0" collapsed="false">
      <c r="A85" s="4" t="s">
        <v>91</v>
      </c>
      <c r="B85" s="11" t="n">
        <f aca="false">(B4*B40)/(B5*B84)</f>
        <v>5.09295817894065</v>
      </c>
      <c r="C85" s="0" t="s">
        <v>92</v>
      </c>
      <c r="D85" s="7"/>
      <c r="F85" s="0" t="s">
        <v>111</v>
      </c>
      <c r="G85" s="23" t="n">
        <f aca="false">1/(2*PI()*B83*B87*0.000001)</f>
        <v>23000</v>
      </c>
      <c r="H85" s="0" t="s">
        <v>81</v>
      </c>
    </row>
    <row r="86" customFormat="false" ht="15.6" hidden="false" customHeight="false" outlineLevel="0" collapsed="false">
      <c r="A86" s="4" t="s">
        <v>93</v>
      </c>
      <c r="B86" s="10" t="n">
        <f aca="false">B41*B40/B84</f>
        <v>4.85557453500698</v>
      </c>
      <c r="C86" s="0" t="s">
        <v>94</v>
      </c>
      <c r="D86" s="7" t="s">
        <v>112</v>
      </c>
      <c r="F86" s="0" t="s">
        <v>113</v>
      </c>
      <c r="G86" s="23" t="n">
        <f aca="false">1/(2*PI()*(B83*B56/(B83+B56))*B87*0.000001)</f>
        <v>150777.777777778</v>
      </c>
      <c r="H86" s="0" t="s">
        <v>81</v>
      </c>
    </row>
    <row r="87" customFormat="false" ht="15.6" hidden="false" customHeight="false" outlineLevel="0" collapsed="false">
      <c r="A87" s="4" t="s">
        <v>97</v>
      </c>
      <c r="B87" s="11" t="n">
        <f aca="false">1000/(2*PI()*B83*B82)</f>
        <v>0.691978013443023</v>
      </c>
      <c r="C87" s="0" t="s">
        <v>92</v>
      </c>
      <c r="D87" s="7"/>
      <c r="F87" s="0" t="s">
        <v>114</v>
      </c>
      <c r="G87" s="0" t="n">
        <f aca="false">1/(2*PI()*B84*B86*0.000000001)</f>
        <v>677255.076986789</v>
      </c>
      <c r="H87" s="0" t="s">
        <v>81</v>
      </c>
    </row>
    <row r="88" customFormat="false" ht="14.4" hidden="false" customHeight="false" outlineLevel="0" collapsed="false">
      <c r="D88" s="7"/>
    </row>
    <row r="89" customFormat="false" ht="15.6" hidden="false" customHeight="false" outlineLevel="0" collapsed="false">
      <c r="A89" s="4" t="s">
        <v>89</v>
      </c>
      <c r="B89" s="8" t="n">
        <f aca="false">B55</f>
        <v>10</v>
      </c>
      <c r="C89" s="0" t="s">
        <v>67</v>
      </c>
      <c r="D89" s="7"/>
      <c r="F89" s="0" t="s">
        <v>99</v>
      </c>
      <c r="G89" s="23" t="n">
        <f aca="false">1/(2*PI()*B79*B91*0.001/B80)</f>
        <v>46.9303037322255</v>
      </c>
      <c r="H89" s="0" t="s">
        <v>81</v>
      </c>
    </row>
    <row r="90" customFormat="false" ht="15.6" hidden="false" customHeight="false" outlineLevel="0" collapsed="false">
      <c r="A90" s="4" t="s">
        <v>90</v>
      </c>
      <c r="B90" s="10" t="n">
        <v>120</v>
      </c>
      <c r="C90" s="0" t="s">
        <v>67</v>
      </c>
      <c r="D90" s="7"/>
      <c r="F90" s="0" t="s">
        <v>101</v>
      </c>
      <c r="G90" s="23" t="n">
        <f aca="false">1/(2*PI()*B90*B91*0.000001)</f>
        <v>3400.74664726272</v>
      </c>
      <c r="H90" s="0" t="s">
        <v>81</v>
      </c>
    </row>
    <row r="91" customFormat="false" ht="15.6" hidden="false" customHeight="false" outlineLevel="0" collapsed="false">
      <c r="A91" s="4" t="s">
        <v>91</v>
      </c>
      <c r="B91" s="11" t="n">
        <v>0.39</v>
      </c>
      <c r="C91" s="0" t="s">
        <v>92</v>
      </c>
      <c r="D91" s="7"/>
      <c r="F91" s="0" t="s">
        <v>111</v>
      </c>
      <c r="G91" s="23" t="n">
        <f aca="false">1/(2*PI()*B89*B93*0.000001)</f>
        <v>23405.1386899846</v>
      </c>
      <c r="H91" s="0" t="s">
        <v>81</v>
      </c>
    </row>
    <row r="92" customFormat="false" ht="15.6" hidden="false" customHeight="false" outlineLevel="0" collapsed="false">
      <c r="A92" s="4" t="s">
        <v>93</v>
      </c>
      <c r="B92" s="10" t="n">
        <v>0.1</v>
      </c>
      <c r="C92" s="0" t="s">
        <v>94</v>
      </c>
      <c r="D92" s="7"/>
      <c r="F92" s="0" t="s">
        <v>113</v>
      </c>
      <c r="G92" s="23" t="n">
        <f aca="false">1/(2*PI()*(B89*B56/(B83+B56))*B93*0.000001)</f>
        <v>153433.686967677</v>
      </c>
      <c r="H92" s="0" t="s">
        <v>81</v>
      </c>
    </row>
    <row r="93" customFormat="false" ht="15.6" hidden="false" customHeight="false" outlineLevel="0" collapsed="false">
      <c r="A93" s="4" t="s">
        <v>97</v>
      </c>
      <c r="B93" s="11" t="n">
        <v>0.68</v>
      </c>
      <c r="C93" s="0" t="s">
        <v>92</v>
      </c>
      <c r="D93" s="7"/>
      <c r="F93" s="0" t="s">
        <v>114</v>
      </c>
      <c r="G93" s="0" t="n">
        <f aca="false">1/(2*PI()*B90*B92*0.000000001)</f>
        <v>13262911.9243246</v>
      </c>
      <c r="H93" s="0" t="s">
        <v>81</v>
      </c>
    </row>
    <row r="94" customFormat="false" ht="14.4" hidden="false" customHeight="false" outlineLevel="0" collapsed="false">
      <c r="A94" s="4"/>
      <c r="D94" s="7"/>
    </row>
    <row r="95" customFormat="false" ht="14.4" hidden="false" customHeight="false" outlineLevel="0" collapsed="false">
      <c r="A95" s="14"/>
      <c r="B95" s="15"/>
      <c r="C95" s="15"/>
      <c r="D95" s="16"/>
    </row>
    <row r="96" customFormat="false" ht="14.4" hidden="false" customHeight="false" outlineLevel="0" collapsed="false">
      <c r="A96" s="24" t="s">
        <v>115</v>
      </c>
      <c r="B96" s="25"/>
      <c r="C96" s="25"/>
      <c r="D96" s="26"/>
    </row>
    <row r="97" customFormat="false" ht="14.4" hidden="false" customHeight="false" outlineLevel="0" collapsed="false">
      <c r="A97" s="4" t="s">
        <v>116</v>
      </c>
      <c r="B97" s="23" t="n">
        <v>10</v>
      </c>
      <c r="C97" s="0" t="s">
        <v>92</v>
      </c>
      <c r="D97" s="7" t="s">
        <v>117</v>
      </c>
    </row>
    <row r="98" customFormat="false" ht="14.4" hidden="false" customHeight="false" outlineLevel="0" collapsed="false">
      <c r="A98" s="4" t="s">
        <v>118</v>
      </c>
      <c r="B98" s="0" t="n">
        <v>2</v>
      </c>
      <c r="C98" s="0" t="s">
        <v>13</v>
      </c>
      <c r="D98" s="7"/>
    </row>
    <row r="99" customFormat="false" ht="14.4" hidden="false" customHeight="false" outlineLevel="0" collapsed="false">
      <c r="A99" s="4" t="s">
        <v>119</v>
      </c>
      <c r="B99" s="0" t="n">
        <f aca="false">B97*B51/B98</f>
        <v>4</v>
      </c>
      <c r="C99" s="0" t="s">
        <v>120</v>
      </c>
      <c r="D99" s="7" t="s">
        <v>121</v>
      </c>
    </row>
    <row r="100" customFormat="false" ht="14.4" hidden="false" customHeight="false" outlineLevel="0" collapsed="false">
      <c r="A100" s="14"/>
      <c r="B100" s="15"/>
      <c r="C100" s="15"/>
      <c r="D100" s="16"/>
    </row>
    <row r="101" customFormat="false" ht="14.4" hidden="false" customHeight="false" outlineLevel="0" collapsed="false">
      <c r="A101" s="17" t="s">
        <v>122</v>
      </c>
      <c r="D101" s="7"/>
    </row>
    <row r="102" customFormat="false" ht="14.4" hidden="false" customHeight="false" outlineLevel="0" collapsed="false">
      <c r="A102" s="4" t="s">
        <v>123</v>
      </c>
      <c r="B102" s="0" t="n">
        <v>1.25</v>
      </c>
      <c r="C102" s="0" t="s">
        <v>2</v>
      </c>
      <c r="D102" s="7" t="s">
        <v>124</v>
      </c>
    </row>
    <row r="103" customFormat="false" ht="14.4" hidden="false" customHeight="false" outlineLevel="0" collapsed="false">
      <c r="A103" s="4" t="s">
        <v>125</v>
      </c>
      <c r="B103" s="0" t="n">
        <f aca="false">(B105-B106)/0.003</f>
        <v>1000</v>
      </c>
      <c r="C103" s="0" t="s">
        <v>67</v>
      </c>
      <c r="D103" s="7"/>
    </row>
    <row r="104" customFormat="false" ht="14.4" hidden="false" customHeight="false" outlineLevel="0" collapsed="false">
      <c r="A104" s="4" t="s">
        <v>126</v>
      </c>
      <c r="B104" s="23" t="n">
        <f aca="false">B102/((B105-B102)/(B103*1000)+0.000001)/1000</f>
        <v>123.406116857559</v>
      </c>
      <c r="C104" s="0" t="s">
        <v>67</v>
      </c>
      <c r="D104" s="7"/>
    </row>
    <row r="105" customFormat="false" ht="14.4" hidden="false" customHeight="false" outlineLevel="0" collapsed="false">
      <c r="A105" s="4" t="s">
        <v>127</v>
      </c>
      <c r="B105" s="10" t="n">
        <f aca="false">B106+3</f>
        <v>10.3791575476992</v>
      </c>
      <c r="C105" s="0" t="s">
        <v>2</v>
      </c>
      <c r="D105" s="7"/>
    </row>
    <row r="106" customFormat="false" ht="14.4" hidden="false" customHeight="false" outlineLevel="0" collapsed="false">
      <c r="A106" s="4" t="s">
        <v>128</v>
      </c>
      <c r="B106" s="8" t="n">
        <f aca="false">((B58+B45+(B24*B5/1000))-0.9*(B45+(B24*B5/1000)-B8))/0.9+1</f>
        <v>7.37915754769921</v>
      </c>
      <c r="C106" s="0" t="s">
        <v>2</v>
      </c>
      <c r="D106" s="7"/>
    </row>
    <row r="107" customFormat="false" ht="14.4" hidden="false" customHeight="false" outlineLevel="0" collapsed="false">
      <c r="A107" s="4"/>
      <c r="D107" s="7"/>
    </row>
    <row r="108" customFormat="false" ht="14.4" hidden="false" customHeight="false" outlineLevel="0" collapsed="false">
      <c r="A108" s="4"/>
      <c r="D108" s="7"/>
    </row>
    <row r="109" customFormat="false" ht="14.4" hidden="false" customHeight="false" outlineLevel="0" collapsed="false">
      <c r="A109" s="4" t="s">
        <v>125</v>
      </c>
      <c r="B109" s="0" t="n">
        <v>1000</v>
      </c>
      <c r="C109" s="0" t="s">
        <v>67</v>
      </c>
      <c r="D109" s="7"/>
    </row>
    <row r="110" customFormat="false" ht="14.4" hidden="false" customHeight="false" outlineLevel="0" collapsed="false">
      <c r="A110" s="4" t="s">
        <v>126</v>
      </c>
      <c r="B110" s="23" t="n">
        <v>130</v>
      </c>
      <c r="C110" s="0" t="s">
        <v>67</v>
      </c>
      <c r="D110" s="7"/>
    </row>
    <row r="111" customFormat="false" ht="14.4" hidden="false" customHeight="false" outlineLevel="0" collapsed="false">
      <c r="A111" s="4" t="s">
        <v>127</v>
      </c>
      <c r="B111" s="10" t="n">
        <f aca="false">(B102/(B110*1000)-0.000001)*B109*1000+B102</f>
        <v>9.86538461538462</v>
      </c>
      <c r="C111" s="0" t="s">
        <v>2</v>
      </c>
      <c r="D111" s="7"/>
    </row>
    <row r="112" customFormat="false" ht="14.4" hidden="false" customHeight="false" outlineLevel="0" collapsed="false">
      <c r="A112" s="4" t="s">
        <v>128</v>
      </c>
      <c r="B112" s="8" t="n">
        <f aca="false">B111-B109*1000*0.000003</f>
        <v>6.86538461538462</v>
      </c>
      <c r="C112" s="0" t="s">
        <v>2</v>
      </c>
      <c r="D112" s="7"/>
    </row>
    <row r="113" customFormat="false" ht="14.4" hidden="false" customHeight="false" outlineLevel="0" collapsed="false">
      <c r="A113" s="4"/>
      <c r="D113" s="7"/>
    </row>
  </sheetData>
  <hyperlinks>
    <hyperlink ref="E23" r:id="rId1" display="http://www.coilcraft.com/pdfs/xal60xx.pdf"/>
    <hyperlink ref="E24" r:id="rId2" display="http://www.bourns.com/data/global/pdfs/SRN5040.pdf"/>
    <hyperlink ref="E45" r:id="rId3" display="https://www.fairchildsemi.com/datasheets/SS/SS14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2019-03-11T15:43:52Z</dcterms:created>
  <dc:creator>Magnus Ottosson</dc:creator>
  <dc:description/>
  <dc:language>en-US</dc:language>
  <cp:lastModifiedBy/>
  <dcterms:modified xsi:type="dcterms:W3CDTF">2019-03-11T16:55:23Z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