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/Dropbox/j2020/Nimbios/MemLoc/"/>
    </mc:Choice>
  </mc:AlternateContent>
  <xr:revisionPtr revIDLastSave="0" documentId="13_ncr:1_{1D6E1F9A-9E52-F646-A7BE-84CD0DAAAA3B}" xr6:coauthVersionLast="43" xr6:coauthVersionMax="43" xr10:uidLastSave="{00000000-0000-0000-0000-000000000000}"/>
  <bookViews>
    <workbookView xWindow="8720" yWindow="3040" windowWidth="27640" windowHeight="16940" activeTab="1" xr2:uid="{20C443E1-B05C-BE48-B681-8B04864025E1}"/>
  </bookViews>
  <sheets>
    <sheet name="NERDSS_SIMS" sheetId="1" r:id="rId1"/>
    <sheet name="Filenames" sheetId="3" r:id="rId2"/>
    <sheet name="Eq Valu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1" l="1"/>
  <c r="H38" i="1"/>
  <c r="M36" i="1"/>
  <c r="L16" i="1"/>
  <c r="H16" i="1"/>
  <c r="D26" i="1"/>
  <c r="D27" i="1"/>
  <c r="D25" i="1"/>
  <c r="M43" i="1"/>
  <c r="N43" i="1" s="1"/>
  <c r="H43" i="1"/>
  <c r="G43" i="1"/>
  <c r="N41" i="1"/>
  <c r="M41" i="1"/>
  <c r="H41" i="1"/>
  <c r="G41" i="1"/>
  <c r="N38" i="1"/>
  <c r="N36" i="1"/>
  <c r="H36" i="1"/>
  <c r="C36" i="1"/>
  <c r="E36" i="1" s="1"/>
  <c r="B36" i="1"/>
  <c r="H34" i="1"/>
  <c r="G34" i="1" s="1"/>
  <c r="H33" i="1"/>
  <c r="E33" i="1"/>
  <c r="C33" i="1"/>
  <c r="B33" i="1"/>
  <c r="H32" i="1"/>
  <c r="E32" i="1"/>
  <c r="C32" i="1"/>
  <c r="B32" i="1"/>
  <c r="D16" i="1"/>
  <c r="L8" i="1"/>
  <c r="L6" i="1"/>
  <c r="H6" i="1"/>
  <c r="H8" i="1" s="1"/>
  <c r="L5" i="1"/>
  <c r="D5" i="1"/>
  <c r="D6" i="1" s="1"/>
  <c r="D8" i="1" s="1"/>
  <c r="D14" i="1" l="1"/>
  <c r="L11" i="1"/>
  <c r="L12" i="1"/>
  <c r="L14" i="1"/>
  <c r="D11" i="1"/>
  <c r="D12" i="1"/>
  <c r="H11" i="1"/>
  <c r="H12" i="1"/>
  <c r="H14" i="1"/>
  <c r="G24" i="1"/>
  <c r="N32" i="1"/>
  <c r="N33" i="1"/>
  <c r="K36" i="1"/>
  <c r="K32" i="1"/>
  <c r="K33" i="1"/>
  <c r="D34" i="1"/>
  <c r="M38" i="1"/>
  <c r="L36" i="1" l="1"/>
  <c r="L33" i="1"/>
  <c r="L32" i="1"/>
</calcChain>
</file>

<file path=xl/sharedStrings.xml><?xml version="1.0" encoding="utf-8"?>
<sst xmlns="http://schemas.openxmlformats.org/spreadsheetml/2006/main" count="152" uniqueCount="81">
  <si>
    <t>Small Box</t>
  </si>
  <si>
    <t>SLOW D</t>
  </si>
  <si>
    <t>LARGE BOX</t>
  </si>
  <si>
    <t>xbox</t>
  </si>
  <si>
    <t>IL</t>
  </si>
  <si>
    <t>FPR</t>
  </si>
  <si>
    <t>A (nm2)</t>
  </si>
  <si>
    <t xml:space="preserve">NOTES: FPR was run for the small box at fast and slow D, it gets the proper equilibrium. </t>
  </si>
  <si>
    <t>h (nm)</t>
  </si>
  <si>
    <t xml:space="preserve">NERDSS gets the same kinetics almost, but the equilibrium is off somewhat, for both explicit and implicit lipids. </t>
  </si>
  <si>
    <t>V (nm3)</t>
  </si>
  <si>
    <t>NA</t>
  </si>
  <si>
    <t>NB</t>
  </si>
  <si>
    <t>CA (uM)</t>
  </si>
  <si>
    <t>CB (uM)</t>
  </si>
  <si>
    <t>NM</t>
  </si>
  <si>
    <t>CM (uM)</t>
  </si>
  <si>
    <t>P1+P2</t>
  </si>
  <si>
    <t>Keq (nm3) P1+P2</t>
  </si>
  <si>
    <t>Keq (nm3)</t>
  </si>
  <si>
    <t>P1+M</t>
  </si>
  <si>
    <t>P2+M</t>
  </si>
  <si>
    <t>Da (nm2/us)</t>
  </si>
  <si>
    <t>Db (nm2/us)</t>
  </si>
  <si>
    <t>Dm</t>
  </si>
  <si>
    <t>Sigma (nm)</t>
  </si>
  <si>
    <t>Vol Fraction</t>
  </si>
  <si>
    <t>ka (nm3/us)</t>
  </si>
  <si>
    <t>sigma</t>
  </si>
  <si>
    <t>nm</t>
  </si>
  <si>
    <t>D</t>
  </si>
  <si>
    <t>nm2/us</t>
  </si>
  <si>
    <t>Keq (M-1)</t>
  </si>
  <si>
    <t>Kd uM</t>
  </si>
  <si>
    <t>kon (M-1 s-1)</t>
  </si>
  <si>
    <t>dG</t>
  </si>
  <si>
    <t>koff (s-1)</t>
  </si>
  <si>
    <t>kon (nm^3/us)</t>
  </si>
  <si>
    <t>ka (nm^3/us)</t>
  </si>
  <si>
    <t>kb (s^-1)</t>
  </si>
  <si>
    <t>Keq nm3</t>
  </si>
  <si>
    <t>D nm2/us</t>
  </si>
  <si>
    <t>Keq (uM-1)</t>
  </si>
  <si>
    <t>Keq2D (nm2)</t>
  </si>
  <si>
    <t>From the Kaeff calculation and the ODE solution</t>
  </si>
  <si>
    <t>MP1P2M</t>
  </si>
  <si>
    <t>MP1P2</t>
  </si>
  <si>
    <t>P1P2M</t>
  </si>
  <si>
    <t>P1P2</t>
  </si>
  <si>
    <t>P2M</t>
  </si>
  <si>
    <t>MP1</t>
  </si>
  <si>
    <t>P2</t>
  </si>
  <si>
    <t>P1</t>
  </si>
  <si>
    <t>M</t>
  </si>
  <si>
    <t>small Box</t>
  </si>
  <si>
    <t>[Meq, P1, P2, P1M, P2M, P1P2sol,P1P2M, MP1P2, MP1P2M]</t>
  </si>
  <si>
    <t xml:space="preserve">FPR_fastD_Avgs.dat </t>
  </si>
  <si>
    <t>FPR_fastD_SEM.dat</t>
  </si>
  <si>
    <t xml:space="preserve"> FPR_slowD_Avgs.dat </t>
  </si>
  <si>
    <t>FPR_slowD_SEM.dat</t>
  </si>
  <si>
    <t>FILENAME</t>
  </si>
  <si>
    <t>SmallBox</t>
  </si>
  <si>
    <t>fastD</t>
  </si>
  <si>
    <t>Which Model?</t>
  </si>
  <si>
    <t>N trajectories</t>
  </si>
  <si>
    <t>SEM is STD(t) across all 48 trajectories, divided by sqrt(48)</t>
  </si>
  <si>
    <t>MODEL</t>
  </si>
  <si>
    <t>FAST D</t>
  </si>
  <si>
    <t>IL_largeBox_Avgs.dat</t>
  </si>
  <si>
    <t>LargeBox</t>
  </si>
  <si>
    <t>IL_largeBox_SEMs.dat</t>
  </si>
  <si>
    <t>Each file has 9 column</t>
  </si>
  <si>
    <t>Time (us)</t>
  </si>
  <si>
    <t>MABM(t)</t>
  </si>
  <si>
    <t>AB(t)</t>
  </si>
  <si>
    <t>AM(t)</t>
  </si>
  <si>
    <t>BM(t)</t>
  </si>
  <si>
    <t>A(t)</t>
  </si>
  <si>
    <t>B(t)</t>
  </si>
  <si>
    <t>ABM(t)</t>
  </si>
  <si>
    <t>M(t)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</si>
</sst>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Menlo"/>
      <family val="2"/>
    </font>
    <font>
      <sz val="11"/>
      <color rgb="FF000000"/>
      <name val="Menlo"/>
      <family val="2"/>
    </font>
    <font>
      <sz val="14"/>
      <color rgb="FF000000"/>
      <name val="Menlo"/>
      <family val="2"/>
    </font>
    <font>
      <b/>
      <sz val="11"/>
      <color rgb="FF5230E1"/>
      <name val="Menlo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rgb="FF25992D"/>
      <name val="Courier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0" fontId="7" fillId="0" borderId="0" xfId="0" applyFont="1"/>
    <xf numFmtId="2" fontId="6" fillId="0" borderId="0" xfId="0" applyNumberFormat="1" applyFont="1" applyAlignment="1">
      <alignment horizontal="right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BD5E-15DF-DB44-B180-8E8CD98588A6}">
  <dimension ref="B3:P43"/>
  <sheetViews>
    <sheetView workbookViewId="0">
      <selection activeCell="F2" sqref="F2"/>
    </sheetView>
  </sheetViews>
  <sheetFormatPr baseColWidth="10" defaultRowHeight="16" x14ac:dyDescent="0.2"/>
  <cols>
    <col min="4" max="4" width="12.1640625" bestFit="1" customWidth="1"/>
    <col min="7" max="7" width="12.1640625" bestFit="1" customWidth="1"/>
    <col min="11" max="11" width="17.6640625" customWidth="1"/>
    <col min="12" max="12" width="20.6640625" customWidth="1"/>
  </cols>
  <sheetData>
    <row r="3" spans="2:16" x14ac:dyDescent="0.2">
      <c r="B3" s="27" t="s">
        <v>66</v>
      </c>
      <c r="C3" s="27" t="s">
        <v>0</v>
      </c>
      <c r="D3" s="27" t="s">
        <v>67</v>
      </c>
      <c r="E3" s="29"/>
      <c r="F3" s="29"/>
      <c r="G3" s="27" t="s">
        <v>2</v>
      </c>
      <c r="H3" s="28"/>
      <c r="I3" s="29"/>
      <c r="J3" s="29"/>
      <c r="K3" s="27" t="s">
        <v>0</v>
      </c>
      <c r="L3" s="27" t="s">
        <v>1</v>
      </c>
    </row>
    <row r="4" spans="2:16" x14ac:dyDescent="0.2">
      <c r="K4" s="1"/>
    </row>
    <row r="5" spans="2:16" x14ac:dyDescent="0.2">
      <c r="C5" s="1" t="s">
        <v>3</v>
      </c>
      <c r="D5">
        <f>470</f>
        <v>470</v>
      </c>
      <c r="G5" s="1" t="s">
        <v>3</v>
      </c>
      <c r="H5">
        <v>470</v>
      </c>
      <c r="K5" s="1" t="s">
        <v>3</v>
      </c>
      <c r="L5">
        <f>470</f>
        <v>470</v>
      </c>
      <c r="N5" s="1" t="s">
        <v>4</v>
      </c>
      <c r="O5" s="1"/>
      <c r="P5" s="1" t="s">
        <v>5</v>
      </c>
    </row>
    <row r="6" spans="2:16" x14ac:dyDescent="0.2">
      <c r="C6" s="2" t="s">
        <v>6</v>
      </c>
      <c r="D6">
        <f>D5^2</f>
        <v>220900</v>
      </c>
      <c r="G6" s="2" t="s">
        <v>6</v>
      </c>
      <c r="H6">
        <f>H5^2</f>
        <v>220900</v>
      </c>
      <c r="K6" s="2" t="s">
        <v>6</v>
      </c>
      <c r="L6">
        <f>L5^2</f>
        <v>220900</v>
      </c>
      <c r="P6" t="s">
        <v>7</v>
      </c>
    </row>
    <row r="7" spans="2:16" x14ac:dyDescent="0.2">
      <c r="C7" s="2" t="s">
        <v>8</v>
      </c>
      <c r="D7">
        <v>752</v>
      </c>
      <c r="G7" s="3" t="s">
        <v>8</v>
      </c>
      <c r="H7">
        <v>5000</v>
      </c>
      <c r="K7" s="2" t="s">
        <v>8</v>
      </c>
      <c r="L7">
        <v>752</v>
      </c>
      <c r="P7" t="s">
        <v>9</v>
      </c>
    </row>
    <row r="8" spans="2:16" x14ac:dyDescent="0.2">
      <c r="C8" s="1" t="s">
        <v>10</v>
      </c>
      <c r="D8">
        <f>D6*D7</f>
        <v>166116800</v>
      </c>
      <c r="G8" s="4" t="s">
        <v>10</v>
      </c>
      <c r="H8">
        <f>H6*H7</f>
        <v>1104500000</v>
      </c>
      <c r="K8" s="1" t="s">
        <v>10</v>
      </c>
      <c r="L8">
        <f>L6*L7</f>
        <v>166116800</v>
      </c>
    </row>
    <row r="9" spans="2:16" x14ac:dyDescent="0.2">
      <c r="C9" s="2" t="s">
        <v>11</v>
      </c>
      <c r="D9">
        <v>100</v>
      </c>
      <c r="G9" s="3" t="s">
        <v>11</v>
      </c>
      <c r="H9">
        <v>665</v>
      </c>
      <c r="K9" s="2" t="s">
        <v>11</v>
      </c>
      <c r="L9">
        <v>100</v>
      </c>
    </row>
    <row r="10" spans="2:16" x14ac:dyDescent="0.2">
      <c r="C10" s="2" t="s">
        <v>12</v>
      </c>
      <c r="D10">
        <v>100</v>
      </c>
      <c r="G10" s="3" t="s">
        <v>12</v>
      </c>
      <c r="H10">
        <v>665</v>
      </c>
      <c r="K10" s="2" t="s">
        <v>12</v>
      </c>
      <c r="L10">
        <v>100</v>
      </c>
    </row>
    <row r="11" spans="2:16" x14ac:dyDescent="0.2">
      <c r="C11" s="2" t="s">
        <v>13</v>
      </c>
      <c r="D11">
        <f>D9/$D$8*1E+24/6.02E+23*1000000</f>
        <v>0.99997686453526202</v>
      </c>
      <c r="G11" s="2" t="s">
        <v>13</v>
      </c>
      <c r="H11">
        <f>H9/$H$8*1E+24/6.02E+23*1000000</f>
        <v>1.0001368608335877</v>
      </c>
      <c r="K11" s="2" t="s">
        <v>13</v>
      </c>
      <c r="L11">
        <f>L9/$D$8*1E+24/6.02E+23*1000000</f>
        <v>0.99997686453526202</v>
      </c>
    </row>
    <row r="12" spans="2:16" x14ac:dyDescent="0.2">
      <c r="C12" s="2" t="s">
        <v>14</v>
      </c>
      <c r="D12">
        <f>D10/$D$8*1E+24/6.02E+23*1000000</f>
        <v>0.99997686453526202</v>
      </c>
      <c r="G12" s="2" t="s">
        <v>14</v>
      </c>
      <c r="H12">
        <f>H10/$H$8*1E+24/6.02E+23*1000000</f>
        <v>1.0001368608335877</v>
      </c>
      <c r="K12" s="2" t="s">
        <v>14</v>
      </c>
      <c r="L12">
        <f>L10/$D$8*1E+24/6.02E+23*1000000</f>
        <v>0.99997686453526202</v>
      </c>
    </row>
    <row r="13" spans="2:16" x14ac:dyDescent="0.2">
      <c r="C13" s="2" t="s">
        <v>15</v>
      </c>
      <c r="D13">
        <v>3755</v>
      </c>
      <c r="G13" s="2" t="s">
        <v>15</v>
      </c>
      <c r="H13">
        <v>3755</v>
      </c>
      <c r="K13" s="2" t="s">
        <v>15</v>
      </c>
      <c r="L13">
        <v>3755</v>
      </c>
    </row>
    <row r="14" spans="2:16" x14ac:dyDescent="0.2">
      <c r="C14" s="2" t="s">
        <v>16</v>
      </c>
      <c r="D14">
        <f>D13/$D$8*1E+24*1000000/6.02E+23</f>
        <v>37.549131263299095</v>
      </c>
      <c r="G14" s="5" t="s">
        <v>16</v>
      </c>
      <c r="H14">
        <f>H13/$H$8*1E+24*1000000/6.02E+23</f>
        <v>5.6473893420001833</v>
      </c>
      <c r="K14" s="2" t="s">
        <v>16</v>
      </c>
      <c r="L14">
        <f>L13/$D$8*1E+24*1000000/6.02E+23</f>
        <v>37.549131263299095</v>
      </c>
    </row>
    <row r="16" spans="2:16" x14ac:dyDescent="0.2">
      <c r="B16" t="s">
        <v>17</v>
      </c>
      <c r="C16" s="2" t="s">
        <v>18</v>
      </c>
      <c r="D16">
        <f>0.08303*1000000</f>
        <v>83030</v>
      </c>
      <c r="F16" t="s">
        <v>17</v>
      </c>
      <c r="G16" s="2" t="s">
        <v>18</v>
      </c>
      <c r="H16">
        <f>0.08303*1000000</f>
        <v>83030</v>
      </c>
      <c r="J16" t="s">
        <v>17</v>
      </c>
      <c r="K16" s="2" t="s">
        <v>18</v>
      </c>
      <c r="L16">
        <f>0.08303*1000000</f>
        <v>83030</v>
      </c>
    </row>
    <row r="17" spans="2:14" x14ac:dyDescent="0.2">
      <c r="B17" t="s">
        <v>20</v>
      </c>
      <c r="C17" s="2" t="s">
        <v>18</v>
      </c>
      <c r="D17">
        <v>3321130.8517199531</v>
      </c>
      <c r="F17" t="s">
        <v>20</v>
      </c>
      <c r="G17" s="2" t="s">
        <v>18</v>
      </c>
      <c r="H17">
        <v>3321130.8517199531</v>
      </c>
      <c r="J17" t="s">
        <v>20</v>
      </c>
      <c r="K17" s="2" t="s">
        <v>18</v>
      </c>
      <c r="L17">
        <v>3321130.8517199531</v>
      </c>
    </row>
    <row r="18" spans="2:14" x14ac:dyDescent="0.2">
      <c r="B18" t="s">
        <v>21</v>
      </c>
      <c r="C18" s="2" t="s">
        <v>18</v>
      </c>
      <c r="D18">
        <v>3321130.8517199531</v>
      </c>
      <c r="F18" t="s">
        <v>21</v>
      </c>
      <c r="G18" s="2" t="s">
        <v>18</v>
      </c>
      <c r="H18">
        <v>3321130.8517199531</v>
      </c>
      <c r="J18" t="s">
        <v>21</v>
      </c>
      <c r="K18" s="2" t="s">
        <v>18</v>
      </c>
      <c r="L18">
        <v>3321130.8517199531</v>
      </c>
    </row>
    <row r="19" spans="2:14" x14ac:dyDescent="0.2">
      <c r="C19" s="2"/>
      <c r="G19" s="2"/>
      <c r="K19" s="2"/>
    </row>
    <row r="20" spans="2:14" x14ac:dyDescent="0.2">
      <c r="C20" s="2" t="s">
        <v>22</v>
      </c>
      <c r="D20">
        <v>50</v>
      </c>
      <c r="G20" s="2" t="s">
        <v>22</v>
      </c>
      <c r="H20">
        <v>50</v>
      </c>
      <c r="K20" s="2" t="s">
        <v>22</v>
      </c>
      <c r="L20">
        <v>5</v>
      </c>
    </row>
    <row r="21" spans="2:14" x14ac:dyDescent="0.2">
      <c r="C21" s="2" t="s">
        <v>23</v>
      </c>
      <c r="D21">
        <v>50</v>
      </c>
      <c r="G21" s="2" t="s">
        <v>23</v>
      </c>
      <c r="H21">
        <v>50</v>
      </c>
      <c r="K21" s="2" t="s">
        <v>23</v>
      </c>
      <c r="L21">
        <v>5</v>
      </c>
    </row>
    <row r="22" spans="2:14" x14ac:dyDescent="0.2">
      <c r="C22" s="2" t="s">
        <v>24</v>
      </c>
      <c r="D22">
        <v>0.5</v>
      </c>
      <c r="G22" s="2" t="s">
        <v>24</v>
      </c>
      <c r="H22">
        <v>0.5</v>
      </c>
      <c r="K22" s="2" t="s">
        <v>24</v>
      </c>
      <c r="L22">
        <v>0.5</v>
      </c>
    </row>
    <row r="23" spans="2:14" x14ac:dyDescent="0.2">
      <c r="C23" s="2" t="s">
        <v>25</v>
      </c>
      <c r="D23">
        <v>1</v>
      </c>
      <c r="G23" s="2" t="s">
        <v>26</v>
      </c>
      <c r="K23" s="2"/>
    </row>
    <row r="24" spans="2:14" x14ac:dyDescent="0.2">
      <c r="C24" s="2"/>
      <c r="G24">
        <f>665*2/H6*PI()</f>
        <v>1.8914976139766521E-2</v>
      </c>
    </row>
    <row r="25" spans="2:14" x14ac:dyDescent="0.2">
      <c r="B25" t="s">
        <v>17</v>
      </c>
      <c r="C25" s="2" t="s">
        <v>43</v>
      </c>
      <c r="D25">
        <f>D16/2/$D$23</f>
        <v>41515</v>
      </c>
    </row>
    <row r="26" spans="2:14" x14ac:dyDescent="0.2">
      <c r="B26" t="s">
        <v>20</v>
      </c>
      <c r="C26" s="2" t="s">
        <v>43</v>
      </c>
      <c r="D26">
        <f t="shared" ref="D26:D27" si="0">D17/2/$D$23</f>
        <v>1660565.4258599766</v>
      </c>
    </row>
    <row r="27" spans="2:14" x14ac:dyDescent="0.2">
      <c r="B27" t="s">
        <v>21</v>
      </c>
      <c r="C27" s="2" t="s">
        <v>43</v>
      </c>
      <c r="D27">
        <f t="shared" si="0"/>
        <v>1660565.4258599766</v>
      </c>
      <c r="N27" s="6"/>
    </row>
    <row r="28" spans="2:14" x14ac:dyDescent="0.2">
      <c r="C28" s="2"/>
      <c r="J28" t="s">
        <v>27</v>
      </c>
    </row>
    <row r="29" spans="2:14" ht="18" x14ac:dyDescent="0.2">
      <c r="C29" s="2"/>
      <c r="J29" s="7">
        <v>3.3386</v>
      </c>
      <c r="K29" t="s">
        <v>28</v>
      </c>
      <c r="L29">
        <v>1</v>
      </c>
      <c r="M29" t="s">
        <v>29</v>
      </c>
    </row>
    <row r="30" spans="2:14" x14ac:dyDescent="0.2">
      <c r="C30" s="2"/>
      <c r="K30" t="s">
        <v>30</v>
      </c>
      <c r="L30">
        <v>51</v>
      </c>
      <c r="M30" t="s">
        <v>31</v>
      </c>
    </row>
    <row r="31" spans="2:14" x14ac:dyDescent="0.2">
      <c r="B31" s="8" t="s">
        <v>32</v>
      </c>
      <c r="C31" s="8" t="s">
        <v>33</v>
      </c>
      <c r="D31" t="s">
        <v>34</v>
      </c>
      <c r="E31" t="s">
        <v>35</v>
      </c>
      <c r="G31" t="s">
        <v>36</v>
      </c>
      <c r="H31" s="1" t="s">
        <v>37</v>
      </c>
      <c r="I31" s="1"/>
      <c r="J31" s="1"/>
      <c r="K31" s="1" t="s">
        <v>38</v>
      </c>
      <c r="L31" s="1" t="s">
        <v>39</v>
      </c>
      <c r="M31" s="1" t="s">
        <v>40</v>
      </c>
      <c r="N31" s="1" t="s">
        <v>40</v>
      </c>
    </row>
    <row r="32" spans="2:14" x14ac:dyDescent="0.2">
      <c r="B32">
        <f t="shared" ref="B32:B33" si="1">1000000/C32</f>
        <v>1999450.0000000002</v>
      </c>
      <c r="C32">
        <f>G32/D32*1000000</f>
        <v>0.50013753782290127</v>
      </c>
      <c r="D32" s="9">
        <v>1999450</v>
      </c>
      <c r="E32">
        <f t="shared" ref="E32:E33" si="2">LN(C32*0.000001)</f>
        <v>-14.508382700704786</v>
      </c>
      <c r="G32">
        <v>1</v>
      </c>
      <c r="H32">
        <f t="shared" ref="H32:H33" si="3">D32/602000</f>
        <v>3.3213455149501661</v>
      </c>
      <c r="K32">
        <f>(1/(H32)-1/(4*PI()*1*50.5))^(-1)</f>
        <v>3.3388200580295972</v>
      </c>
      <c r="L32">
        <f>G32/H32*K32</f>
        <v>1.0052612843200968</v>
      </c>
      <c r="N32">
        <f t="shared" ref="N32:N33" si="4">H32*1000000/G32</f>
        <v>3321345.514950166</v>
      </c>
    </row>
    <row r="33" spans="2:14" x14ac:dyDescent="0.2">
      <c r="B33">
        <f t="shared" si="1"/>
        <v>1999450.0000000002</v>
      </c>
      <c r="C33">
        <f>G33/D33*1000000</f>
        <v>0.50013753782290127</v>
      </c>
      <c r="D33" s="9">
        <v>1999450</v>
      </c>
      <c r="E33">
        <f t="shared" si="2"/>
        <v>-14.508382700704786</v>
      </c>
      <c r="G33">
        <v>1</v>
      </c>
      <c r="H33">
        <f t="shared" si="3"/>
        <v>3.3213455149501661</v>
      </c>
      <c r="K33">
        <f>(1/(H33)-1/(4*PI()*1*5.5))^(-1)</f>
        <v>3.4890110699521917</v>
      </c>
      <c r="L33">
        <f>G33/H33*K33</f>
        <v>1.0504812143895668</v>
      </c>
      <c r="N33">
        <f t="shared" si="4"/>
        <v>3321345.514950166</v>
      </c>
    </row>
    <row r="34" spans="2:14" x14ac:dyDescent="0.2">
      <c r="D34" s="9">
        <f>H34*602000</f>
        <v>2111850.0581188849</v>
      </c>
      <c r="G34">
        <f>L34/K34*H34</f>
        <v>1.0562207120164278</v>
      </c>
      <c r="H34">
        <f>(1/K34-1/(4*PI()*1*5.5))^(-1)</f>
        <v>3.5080565749483141</v>
      </c>
      <c r="K34">
        <v>3.3386</v>
      </c>
      <c r="L34">
        <v>1.0052000000000001</v>
      </c>
    </row>
    <row r="35" spans="2:14" x14ac:dyDescent="0.2">
      <c r="B35" s="2"/>
      <c r="C35" s="2"/>
    </row>
    <row r="36" spans="2:14" x14ac:dyDescent="0.2">
      <c r="B36">
        <f t="shared" ref="B36" si="5">1000000/C36</f>
        <v>50000</v>
      </c>
      <c r="C36">
        <f>G36/D36*1000000</f>
        <v>20</v>
      </c>
      <c r="D36" s="9">
        <v>50000</v>
      </c>
      <c r="E36">
        <f t="shared" ref="E36" si="6">LN(C36*0.000001)</f>
        <v>-10.819778284410283</v>
      </c>
      <c r="G36">
        <v>1</v>
      </c>
      <c r="H36">
        <f t="shared" ref="H36" si="7">D36/602000</f>
        <v>8.3056478405315617E-2</v>
      </c>
      <c r="K36">
        <f>(1/(H36)-1/(4*PI()*1*100))^(-1)</f>
        <v>8.306196832343922E-2</v>
      </c>
      <c r="L36">
        <f>G36/H36*K36</f>
        <v>1.000066098614208</v>
      </c>
      <c r="M36">
        <f>K36*1000000/L36</f>
        <v>83056.478405315618</v>
      </c>
      <c r="N36">
        <f t="shared" ref="N36" si="8">H36*1000000/G36</f>
        <v>83056.478405315618</v>
      </c>
    </row>
    <row r="37" spans="2:14" x14ac:dyDescent="0.2">
      <c r="C37" s="2"/>
      <c r="D37" s="9"/>
    </row>
    <row r="38" spans="2:14" x14ac:dyDescent="0.2">
      <c r="D38" s="9"/>
      <c r="E38" s="1" t="s">
        <v>21</v>
      </c>
      <c r="G38">
        <f t="shared" ref="G38" si="9">H38/M38*1000000</f>
        <v>0.99999906735208155</v>
      </c>
      <c r="H38">
        <f>(1/K38+1/(4*PI()*1*$L$40))^-1</f>
        <v>3.3211277542741775</v>
      </c>
      <c r="K38">
        <v>3.3386</v>
      </c>
      <c r="L38">
        <v>1.00526</v>
      </c>
      <c r="M38">
        <f>K38*1000000/L38</f>
        <v>3321130.8517199531</v>
      </c>
      <c r="N38">
        <f t="shared" ref="N38" si="10">H38*1000000/G38</f>
        <v>3321130.8517199531</v>
      </c>
    </row>
    <row r="40" spans="2:14" x14ac:dyDescent="0.2">
      <c r="K40" s="1" t="s">
        <v>41</v>
      </c>
      <c r="L40" s="1">
        <v>50.5</v>
      </c>
      <c r="M40" s="1" t="s">
        <v>19</v>
      </c>
      <c r="N40" s="1" t="s">
        <v>42</v>
      </c>
    </row>
    <row r="41" spans="2:14" x14ac:dyDescent="0.2">
      <c r="E41" s="1" t="s">
        <v>17</v>
      </c>
      <c r="G41">
        <f>H41/M41*1000000</f>
        <v>0.99986917914678108</v>
      </c>
      <c r="H41">
        <f>(1/K41+1/(4*PI()*1*$L$40))^-1</f>
        <v>8.3019137944557231E-2</v>
      </c>
      <c r="K41" s="10">
        <v>8.3030000000000007E-2</v>
      </c>
      <c r="L41" s="11">
        <v>1</v>
      </c>
      <c r="M41" s="12">
        <f>K41/L41*1000000</f>
        <v>83030</v>
      </c>
      <c r="N41">
        <f>M41/1E+24*6.02E+23/1000000</f>
        <v>4.9984059999999997E-2</v>
      </c>
    </row>
    <row r="42" spans="2:14" x14ac:dyDescent="0.2">
      <c r="B42" s="1"/>
      <c r="K42" s="11"/>
      <c r="L42" s="11"/>
      <c r="M42" s="12"/>
    </row>
    <row r="43" spans="2:14" x14ac:dyDescent="0.2">
      <c r="B43" s="1"/>
      <c r="E43" s="1" t="s">
        <v>20</v>
      </c>
      <c r="G43">
        <f t="shared" ref="G43" si="11">H43/M43*1000000</f>
        <v>0.99999906735208155</v>
      </c>
      <c r="H43">
        <f>(1/K43+1/(4*PI()*1*$L$40))^-1</f>
        <v>3.3211277542741775</v>
      </c>
      <c r="K43" s="10">
        <v>3.3386</v>
      </c>
      <c r="L43" s="13">
        <v>1.00526</v>
      </c>
      <c r="M43" s="12">
        <f>K43/L43*1000000</f>
        <v>3321130.8517199531</v>
      </c>
      <c r="N43">
        <f>M43/1E+24*6.02E+23/1000000</f>
        <v>1.9993207727354119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65EC-4A94-2240-8F93-B58C432202F9}">
  <dimension ref="C3:K16"/>
  <sheetViews>
    <sheetView tabSelected="1" workbookViewId="0">
      <selection activeCell="C17" sqref="C17"/>
    </sheetView>
  </sheetViews>
  <sheetFormatPr baseColWidth="10" defaultRowHeight="16" x14ac:dyDescent="0.2"/>
  <sheetData>
    <row r="3" spans="3:11" x14ac:dyDescent="0.2">
      <c r="C3" t="s">
        <v>60</v>
      </c>
      <c r="E3" t="s">
        <v>63</v>
      </c>
      <c r="G3" t="s">
        <v>64</v>
      </c>
    </row>
    <row r="4" spans="3:11" x14ac:dyDescent="0.2">
      <c r="C4" s="25" t="s">
        <v>56</v>
      </c>
      <c r="E4" t="s">
        <v>61</v>
      </c>
      <c r="F4" t="s">
        <v>62</v>
      </c>
      <c r="G4">
        <v>48</v>
      </c>
    </row>
    <row r="5" spans="3:11" x14ac:dyDescent="0.2">
      <c r="C5" t="s">
        <v>57</v>
      </c>
      <c r="E5" t="s">
        <v>61</v>
      </c>
      <c r="F5" t="s">
        <v>62</v>
      </c>
      <c r="G5">
        <v>48</v>
      </c>
      <c r="H5" t="s">
        <v>65</v>
      </c>
    </row>
    <row r="6" spans="3:11" x14ac:dyDescent="0.2">
      <c r="C6" t="s">
        <v>58</v>
      </c>
      <c r="E6" t="s">
        <v>61</v>
      </c>
      <c r="F6" t="s">
        <v>62</v>
      </c>
      <c r="G6">
        <v>48</v>
      </c>
    </row>
    <row r="7" spans="3:11" x14ac:dyDescent="0.2">
      <c r="C7" t="s">
        <v>59</v>
      </c>
      <c r="E7" t="s">
        <v>61</v>
      </c>
      <c r="F7" t="s">
        <v>62</v>
      </c>
      <c r="G7">
        <v>48</v>
      </c>
      <c r="H7" t="s">
        <v>65</v>
      </c>
    </row>
    <row r="10" spans="3:11" x14ac:dyDescent="0.2">
      <c r="C10" s="26" t="s">
        <v>68</v>
      </c>
      <c r="E10" t="s">
        <v>69</v>
      </c>
      <c r="F10" t="s">
        <v>62</v>
      </c>
      <c r="G10">
        <v>48</v>
      </c>
    </row>
    <row r="11" spans="3:11" x14ac:dyDescent="0.2">
      <c r="C11" s="26" t="s">
        <v>70</v>
      </c>
      <c r="E11" t="s">
        <v>69</v>
      </c>
      <c r="F11" t="s">
        <v>62</v>
      </c>
      <c r="G11">
        <v>48</v>
      </c>
      <c r="H11" t="s">
        <v>65</v>
      </c>
    </row>
    <row r="15" spans="3:11" x14ac:dyDescent="0.2">
      <c r="C15" t="s">
        <v>71</v>
      </c>
    </row>
    <row r="16" spans="3:11" x14ac:dyDescent="0.2"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059B-EC67-6448-8709-BEB188E353B4}">
  <dimension ref="C3:G20"/>
  <sheetViews>
    <sheetView workbookViewId="0">
      <selection activeCell="D24" sqref="D24"/>
    </sheetView>
  </sheetViews>
  <sheetFormatPr baseColWidth="10" defaultRowHeight="16" x14ac:dyDescent="0.2"/>
  <sheetData>
    <row r="3" spans="3:7" x14ac:dyDescent="0.2">
      <c r="D3" s="24" t="s">
        <v>55</v>
      </c>
    </row>
    <row r="4" spans="3:7" ht="17" thickBot="1" x14ac:dyDescent="0.25"/>
    <row r="5" spans="3:7" x14ac:dyDescent="0.2">
      <c r="C5" s="23"/>
      <c r="D5" s="22" t="s">
        <v>54</v>
      </c>
      <c r="E5" s="21"/>
      <c r="F5" s="21"/>
      <c r="G5" s="20" t="s">
        <v>2</v>
      </c>
    </row>
    <row r="6" spans="3:7" x14ac:dyDescent="0.2">
      <c r="C6" s="19" t="s">
        <v>53</v>
      </c>
      <c r="D6">
        <v>3555.5831145372499</v>
      </c>
      <c r="F6" s="1" t="s">
        <v>53</v>
      </c>
      <c r="G6" s="18">
        <v>2439.80686457808</v>
      </c>
    </row>
    <row r="7" spans="3:7" x14ac:dyDescent="0.2">
      <c r="C7" s="19" t="s">
        <v>52</v>
      </c>
      <c r="D7">
        <v>0.28873029149999996</v>
      </c>
      <c r="F7" s="1" t="s">
        <v>52</v>
      </c>
      <c r="G7" s="18">
        <v>7.7058134448110005</v>
      </c>
    </row>
    <row r="8" spans="3:7" x14ac:dyDescent="0.2">
      <c r="C8" s="19" t="s">
        <v>51</v>
      </c>
      <c r="D8">
        <v>0.28873029149999996</v>
      </c>
      <c r="F8" s="1" t="s">
        <v>51</v>
      </c>
      <c r="G8" s="18">
        <v>7.7058134448110005</v>
      </c>
    </row>
    <row r="9" spans="3:7" x14ac:dyDescent="0.2">
      <c r="C9" s="19" t="s">
        <v>50</v>
      </c>
      <c r="D9">
        <v>20.525868254109998</v>
      </c>
      <c r="F9" s="1" t="s">
        <v>50</v>
      </c>
      <c r="G9" s="18">
        <v>56.535355641656999</v>
      </c>
    </row>
    <row r="10" spans="3:7" x14ac:dyDescent="0.2">
      <c r="C10" s="19" t="s">
        <v>49</v>
      </c>
      <c r="D10">
        <v>20.525868254109998</v>
      </c>
      <c r="F10" s="1" t="s">
        <v>49</v>
      </c>
      <c r="G10" s="18">
        <v>56.535355641656999</v>
      </c>
    </row>
    <row r="11" spans="3:7" x14ac:dyDescent="0.2">
      <c r="C11" s="19" t="s">
        <v>48</v>
      </c>
      <c r="D11">
        <v>4.1668337999999999E-5</v>
      </c>
      <c r="F11" s="1" t="s">
        <v>48</v>
      </c>
      <c r="G11" s="18">
        <v>4.4638161490000005E-3</v>
      </c>
    </row>
    <row r="12" spans="3:7" x14ac:dyDescent="0.2">
      <c r="C12" s="19" t="s">
        <v>47</v>
      </c>
      <c r="D12">
        <v>2.9622067539999998E-3</v>
      </c>
      <c r="F12" s="1" t="s">
        <v>47</v>
      </c>
      <c r="G12" s="18">
        <v>3.2749746063000004E-2</v>
      </c>
    </row>
    <row r="13" spans="3:7" x14ac:dyDescent="0.2">
      <c r="C13" s="19" t="s">
        <v>46</v>
      </c>
      <c r="D13">
        <v>2.9622067539999998E-3</v>
      </c>
      <c r="F13" s="1" t="s">
        <v>46</v>
      </c>
      <c r="G13" s="18">
        <v>3.2749746063000004E-2</v>
      </c>
    </row>
    <row r="14" spans="3:7" ht="17" thickBot="1" x14ac:dyDescent="0.25">
      <c r="C14" s="17" t="s">
        <v>45</v>
      </c>
      <c r="D14" s="16">
        <v>79.179435372544006</v>
      </c>
      <c r="E14" s="16"/>
      <c r="F14" s="15" t="s">
        <v>45</v>
      </c>
      <c r="G14" s="14">
        <v>600.68886760525697</v>
      </c>
    </row>
    <row r="16" spans="3:7" x14ac:dyDescent="0.2">
      <c r="C16" s="1" t="s">
        <v>44</v>
      </c>
    </row>
    <row r="19" spans="3:4" x14ac:dyDescent="0.2">
      <c r="D19" s="1"/>
    </row>
    <row r="20" spans="3:4" x14ac:dyDescent="0.2"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NERDSS_SIMS</vt:lpstr>
      <vt:lpstr>Filenames</vt:lpstr>
      <vt:lpstr>Eq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Johnson</dc:creator>
  <cp:lastModifiedBy>Margaret Johnson</cp:lastModifiedBy>
  <dcterms:created xsi:type="dcterms:W3CDTF">2020-02-05T15:00:08Z</dcterms:created>
  <dcterms:modified xsi:type="dcterms:W3CDTF">2020-02-05T15:12:50Z</dcterms:modified>
</cp:coreProperties>
</file>