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ridiamond/Main Folder/Work/Statistics/COVID-19 Vaccination Rates/Updated Vaccination Rates/"/>
    </mc:Choice>
  </mc:AlternateContent>
  <xr:revisionPtr revIDLastSave="0" documentId="13_ncr:1_{7CB31579-C36D-7B42-A516-46E56A6782EF}" xr6:coauthVersionLast="47" xr6:coauthVersionMax="47" xr10:uidLastSave="{00000000-0000-0000-0000-000000000000}"/>
  <bookViews>
    <workbookView xWindow="-11120" yWindow="-21100" windowWidth="24500" windowHeight="21100" activeTab="2" xr2:uid="{376FD854-0602-EA41-9FF1-DE03B2D1FD37}"/>
  </bookViews>
  <sheets>
    <sheet name="TotalFullVacc" sheetId="7" r:id="rId1"/>
    <sheet name="MaoriFullVacc" sheetId="9" r:id="rId2"/>
    <sheet name="NonMaoriFullVacc" sheetId="10" r:id="rId3"/>
    <sheet name="TotalFullVaccAG" sheetId="11" r:id="rId4"/>
    <sheet name="MaoriFullVaccAG" sheetId="12" r:id="rId5"/>
    <sheet name="NonMaoriFullVaccAG" sheetId="13" r:id="rId6"/>
    <sheet name="TotalHSU2021Pop" sheetId="21" r:id="rId7"/>
    <sheet name="MaoriHSU2021Pop" sheetId="20" r:id="rId8"/>
    <sheet name="NonMaoriHSU2021Pop" sheetId="31" r:id="rId9"/>
    <sheet name="TotalHSU2021Unvaccinated" sheetId="27" r:id="rId10"/>
    <sheet name="MaoriHSU2021Unvaccinated" sheetId="28" r:id="rId11"/>
    <sheet name="NonMaoriHSU2021Unvaccinated" sheetId="33" r:id="rId12"/>
    <sheet name="HSU 2021 DHB Pop" sheetId="14" r:id="rId13"/>
    <sheet name="TotalERP2021Pop" sheetId="25" r:id="rId14"/>
    <sheet name="MaoriERP2021Pop" sheetId="24" r:id="rId15"/>
    <sheet name="NonMaoriERP2021Pop" sheetId="32" r:id="rId16"/>
    <sheet name="TotalERP2021Unvaccinated" sheetId="29" r:id="rId17"/>
    <sheet name="MaoriERP2021Unvaccinated" sheetId="30" r:id="rId18"/>
    <sheet name="NonMaoriERP2021Unvaccinated" sheetId="34" r:id="rId19"/>
    <sheet name="ERP 2021 DHB Pop" sheetId="15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7" i="14" l="1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26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49" i="14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C3" i="12"/>
  <c r="C4" i="12"/>
  <c r="C2" i="12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C3" i="11"/>
  <c r="C4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C2" i="11"/>
  <c r="T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58" i="32"/>
  <c r="T59" i="32"/>
  <c r="T60" i="32"/>
  <c r="T61" i="32"/>
  <c r="T62" i="32"/>
  <c r="T63" i="32"/>
  <c r="T64" i="32"/>
  <c r="T65" i="32"/>
  <c r="T66" i="32"/>
  <c r="T67" i="32"/>
  <c r="S3" i="32"/>
  <c r="S4" i="32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S58" i="32"/>
  <c r="S59" i="32"/>
  <c r="S60" i="32"/>
  <c r="S61" i="32"/>
  <c r="S62" i="32"/>
  <c r="S63" i="32"/>
  <c r="S64" i="32"/>
  <c r="S65" i="32"/>
  <c r="S66" i="32"/>
  <c r="S6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Q3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J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I67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2" i="32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P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O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T3" i="30"/>
  <c r="T4" i="30"/>
  <c r="T5" i="30"/>
  <c r="T6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2" i="30"/>
  <c r="T3" i="29"/>
  <c r="T4" i="29"/>
  <c r="T5" i="29"/>
  <c r="T6" i="29"/>
  <c r="T7" i="29"/>
  <c r="T8" i="29"/>
  <c r="T9" i="29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T34" i="29"/>
  <c r="T35" i="29"/>
  <c r="T36" i="29"/>
  <c r="T37" i="29"/>
  <c r="T38" i="29"/>
  <c r="T39" i="29"/>
  <c r="T40" i="29"/>
  <c r="T41" i="29"/>
  <c r="T42" i="29"/>
  <c r="T43" i="29"/>
  <c r="T44" i="29"/>
  <c r="T45" i="29"/>
  <c r="T46" i="29"/>
  <c r="T47" i="29"/>
  <c r="T48" i="29"/>
  <c r="T49" i="29"/>
  <c r="T50" i="29"/>
  <c r="T51" i="29"/>
  <c r="T52" i="29"/>
  <c r="T53" i="29"/>
  <c r="T54" i="29"/>
  <c r="T55" i="29"/>
  <c r="T56" i="29"/>
  <c r="T57" i="29"/>
  <c r="T58" i="29"/>
  <c r="T59" i="29"/>
  <c r="T60" i="29"/>
  <c r="T61" i="29"/>
  <c r="T62" i="29"/>
  <c r="T63" i="29"/>
  <c r="T64" i="29"/>
  <c r="T65" i="29"/>
  <c r="S3" i="29"/>
  <c r="S4" i="29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R3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2" i="29"/>
  <c r="T3" i="28"/>
  <c r="T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S3" i="28"/>
  <c r="S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62" i="28"/>
  <c r="S63" i="28"/>
  <c r="S64" i="28"/>
  <c r="S65" i="28"/>
  <c r="S66" i="28"/>
  <c r="S67" i="28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N67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S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2" i="27"/>
  <c r="C4" i="20"/>
  <c r="C4" i="31" s="1"/>
  <c r="C3" i="20"/>
  <c r="C3" i="31" s="1"/>
  <c r="C5" i="20"/>
  <c r="C5" i="28" s="1"/>
  <c r="C6" i="20"/>
  <c r="C6" i="28" s="1"/>
  <c r="C7" i="20"/>
  <c r="C7" i="28" s="1"/>
  <c r="C8" i="20"/>
  <c r="C8" i="28" s="1"/>
  <c r="C9" i="20"/>
  <c r="C9" i="31" s="1"/>
  <c r="C10" i="20"/>
  <c r="C10" i="31" s="1"/>
  <c r="C11" i="20"/>
  <c r="C11" i="31" s="1"/>
  <c r="C12" i="20"/>
  <c r="C12" i="31" s="1"/>
  <c r="C13" i="20"/>
  <c r="C13" i="28" s="1"/>
  <c r="C14" i="20"/>
  <c r="C14" i="28" s="1"/>
  <c r="C15" i="20"/>
  <c r="C15" i="28" s="1"/>
  <c r="C16" i="20"/>
  <c r="C16" i="28" s="1"/>
  <c r="C17" i="20"/>
  <c r="C17" i="31" s="1"/>
  <c r="C18" i="20"/>
  <c r="C18" i="31" s="1"/>
  <c r="C19" i="20"/>
  <c r="C19" i="31" s="1"/>
  <c r="C20" i="20"/>
  <c r="C20" i="31" s="1"/>
  <c r="C21" i="20"/>
  <c r="C21" i="28" s="1"/>
  <c r="C22" i="20"/>
  <c r="C22" i="28" s="1"/>
  <c r="C23" i="20"/>
  <c r="C23" i="28" s="1"/>
  <c r="C24" i="20"/>
  <c r="C24" i="28" s="1"/>
  <c r="C25" i="20"/>
  <c r="C25" i="31" s="1"/>
  <c r="C26" i="20"/>
  <c r="C26" i="31" s="1"/>
  <c r="C27" i="20"/>
  <c r="C27" i="31" s="1"/>
  <c r="C28" i="20"/>
  <c r="C28" i="31" s="1"/>
  <c r="C29" i="20"/>
  <c r="C29" i="28" s="1"/>
  <c r="C30" i="20"/>
  <c r="C30" i="28" s="1"/>
  <c r="C31" i="20"/>
  <c r="C31" i="28" s="1"/>
  <c r="C32" i="20"/>
  <c r="C32" i="28" s="1"/>
  <c r="C33" i="20"/>
  <c r="C33" i="31" s="1"/>
  <c r="C34" i="20"/>
  <c r="C34" i="31" s="1"/>
  <c r="C35" i="20"/>
  <c r="C35" i="31" s="1"/>
  <c r="C36" i="20"/>
  <c r="C36" i="31" s="1"/>
  <c r="C37" i="20"/>
  <c r="C37" i="28" s="1"/>
  <c r="C38" i="20"/>
  <c r="C38" i="28" s="1"/>
  <c r="C39" i="20"/>
  <c r="C39" i="28" s="1"/>
  <c r="C40" i="20"/>
  <c r="C40" i="28" s="1"/>
  <c r="C41" i="20"/>
  <c r="C41" i="31" s="1"/>
  <c r="C42" i="20"/>
  <c r="C42" i="31" s="1"/>
  <c r="C43" i="20"/>
  <c r="C43" i="31" s="1"/>
  <c r="C44" i="20"/>
  <c r="C44" i="31" s="1"/>
  <c r="C45" i="20"/>
  <c r="C45" i="28" s="1"/>
  <c r="C46" i="20"/>
  <c r="C46" i="28" s="1"/>
  <c r="C47" i="20"/>
  <c r="C47" i="28" s="1"/>
  <c r="C48" i="20"/>
  <c r="C48" i="28" s="1"/>
  <c r="C49" i="20"/>
  <c r="C49" i="31" s="1"/>
  <c r="C50" i="20"/>
  <c r="C50" i="31" s="1"/>
  <c r="C51" i="20"/>
  <c r="C51" i="31" s="1"/>
  <c r="C52" i="20"/>
  <c r="C52" i="31" s="1"/>
  <c r="C53" i="20"/>
  <c r="C53" i="28" s="1"/>
  <c r="C54" i="20"/>
  <c r="C54" i="28" s="1"/>
  <c r="C55" i="20"/>
  <c r="C55" i="28" s="1"/>
  <c r="C56" i="20"/>
  <c r="C56" i="28" s="1"/>
  <c r="C57" i="20"/>
  <c r="C57" i="31" s="1"/>
  <c r="C58" i="20"/>
  <c r="C58" i="31" s="1"/>
  <c r="C59" i="20"/>
  <c r="C59" i="31" s="1"/>
  <c r="C60" i="20"/>
  <c r="C60" i="31" s="1"/>
  <c r="C61" i="20"/>
  <c r="C61" i="28" s="1"/>
  <c r="C62" i="20"/>
  <c r="C62" i="28" s="1"/>
  <c r="C63" i="20"/>
  <c r="C63" i="28" s="1"/>
  <c r="C64" i="20"/>
  <c r="C64" i="28" s="1"/>
  <c r="C65" i="20"/>
  <c r="C65" i="31" s="1"/>
  <c r="C66" i="20"/>
  <c r="C66" i="31" s="1"/>
  <c r="C67" i="20"/>
  <c r="C67" i="31" s="1"/>
  <c r="C2" i="20"/>
  <c r="C2" i="31" s="1"/>
  <c r="A153" i="15"/>
  <c r="A76" i="15"/>
  <c r="A76" i="14"/>
  <c r="C67" i="28" l="1"/>
  <c r="C66" i="28"/>
  <c r="C2" i="28"/>
  <c r="C60" i="28"/>
  <c r="C52" i="28"/>
  <c r="C44" i="28"/>
  <c r="C36" i="28"/>
  <c r="C28" i="28"/>
  <c r="C20" i="28"/>
  <c r="C12" i="28"/>
  <c r="C4" i="28"/>
  <c r="C64" i="31"/>
  <c r="C56" i="31"/>
  <c r="C48" i="31"/>
  <c r="C40" i="31"/>
  <c r="C32" i="31"/>
  <c r="C24" i="31"/>
  <c r="C16" i="31"/>
  <c r="C8" i="31"/>
  <c r="C59" i="28"/>
  <c r="C51" i="28"/>
  <c r="C43" i="28"/>
  <c r="C35" i="28"/>
  <c r="C27" i="28"/>
  <c r="C19" i="28"/>
  <c r="C11" i="28"/>
  <c r="C3" i="28"/>
  <c r="C63" i="31"/>
  <c r="C55" i="31"/>
  <c r="C47" i="31"/>
  <c r="C39" i="31"/>
  <c r="C31" i="31"/>
  <c r="C23" i="31"/>
  <c r="C15" i="31"/>
  <c r="C7" i="31"/>
  <c r="C58" i="28"/>
  <c r="C50" i="28"/>
  <c r="C42" i="28"/>
  <c r="C34" i="28"/>
  <c r="C26" i="28"/>
  <c r="C18" i="28"/>
  <c r="C10" i="28"/>
  <c r="C62" i="31"/>
  <c r="C54" i="31"/>
  <c r="C46" i="31"/>
  <c r="C38" i="31"/>
  <c r="C30" i="31"/>
  <c r="C22" i="31"/>
  <c r="C14" i="31"/>
  <c r="C6" i="31"/>
  <c r="C65" i="28"/>
  <c r="C57" i="28"/>
  <c r="C49" i="28"/>
  <c r="C41" i="28"/>
  <c r="C33" i="28"/>
  <c r="C25" i="28"/>
  <c r="C17" i="28"/>
  <c r="C9" i="28"/>
  <c r="C61" i="31"/>
  <c r="C53" i="31"/>
  <c r="C45" i="31"/>
  <c r="C37" i="31"/>
  <c r="C29" i="31"/>
  <c r="C21" i="31"/>
  <c r="C13" i="31"/>
  <c r="C5" i="31"/>
  <c r="T3" i="10"/>
  <c r="T3" i="34" s="1"/>
  <c r="T4" i="10"/>
  <c r="T4" i="34" s="1"/>
  <c r="T5" i="10"/>
  <c r="T6" i="10"/>
  <c r="T6" i="34" s="1"/>
  <c r="T7" i="10"/>
  <c r="T7" i="34" s="1"/>
  <c r="T8" i="10"/>
  <c r="T8" i="34" s="1"/>
  <c r="T9" i="10"/>
  <c r="T10" i="10"/>
  <c r="T10" i="34" s="1"/>
  <c r="T11" i="10"/>
  <c r="T11" i="34" s="1"/>
  <c r="T12" i="10"/>
  <c r="T12" i="34" s="1"/>
  <c r="T13" i="10"/>
  <c r="T13" i="34" s="1"/>
  <c r="T14" i="10"/>
  <c r="T14" i="34" s="1"/>
  <c r="T15" i="10"/>
  <c r="T15" i="34" s="1"/>
  <c r="T16" i="10"/>
  <c r="T17" i="10"/>
  <c r="T18" i="10"/>
  <c r="T18" i="34" s="1"/>
  <c r="T19" i="10"/>
  <c r="T19" i="34" s="1"/>
  <c r="T20" i="10"/>
  <c r="T20" i="34" s="1"/>
  <c r="T21" i="10"/>
  <c r="T21" i="34" s="1"/>
  <c r="T22" i="10"/>
  <c r="T22" i="34" s="1"/>
  <c r="T23" i="10"/>
  <c r="T23" i="34" s="1"/>
  <c r="T24" i="10"/>
  <c r="T24" i="34" s="1"/>
  <c r="T25" i="10"/>
  <c r="T26" i="10"/>
  <c r="T26" i="34" s="1"/>
  <c r="T27" i="10"/>
  <c r="T27" i="34" s="1"/>
  <c r="T28" i="10"/>
  <c r="T29" i="10"/>
  <c r="T29" i="34" s="1"/>
  <c r="T30" i="10"/>
  <c r="T31" i="10"/>
  <c r="T31" i="34" s="1"/>
  <c r="T32" i="10"/>
  <c r="T32" i="34" s="1"/>
  <c r="T33" i="10"/>
  <c r="T34" i="10"/>
  <c r="T34" i="34" s="1"/>
  <c r="T35" i="10"/>
  <c r="T35" i="34" s="1"/>
  <c r="T36" i="10"/>
  <c r="T36" i="34" s="1"/>
  <c r="T37" i="10"/>
  <c r="T37" i="34" s="1"/>
  <c r="T38" i="10"/>
  <c r="T38" i="34" s="1"/>
  <c r="T39" i="10"/>
  <c r="T39" i="34" s="1"/>
  <c r="T40" i="10"/>
  <c r="T40" i="34" s="1"/>
  <c r="T41" i="10"/>
  <c r="T42" i="10"/>
  <c r="T42" i="34" s="1"/>
  <c r="T43" i="10"/>
  <c r="T43" i="34" s="1"/>
  <c r="T44" i="10"/>
  <c r="T44" i="34" s="1"/>
  <c r="T45" i="10"/>
  <c r="T45" i="34" s="1"/>
  <c r="T46" i="10"/>
  <c r="T46" i="34" s="1"/>
  <c r="T47" i="10"/>
  <c r="T47" i="34" s="1"/>
  <c r="T48" i="10"/>
  <c r="T48" i="34" s="1"/>
  <c r="T49" i="10"/>
  <c r="T50" i="10"/>
  <c r="T50" i="34" s="1"/>
  <c r="T51" i="10"/>
  <c r="T52" i="10"/>
  <c r="T52" i="34" s="1"/>
  <c r="T53" i="10"/>
  <c r="T53" i="34" s="1"/>
  <c r="T54" i="10"/>
  <c r="T54" i="34" s="1"/>
  <c r="T55" i="10"/>
  <c r="T55" i="34" s="1"/>
  <c r="T56" i="10"/>
  <c r="T56" i="34" s="1"/>
  <c r="T57" i="10"/>
  <c r="T58" i="10"/>
  <c r="T59" i="10"/>
  <c r="T59" i="34" s="1"/>
  <c r="T60" i="10"/>
  <c r="T60" i="34" s="1"/>
  <c r="T61" i="10"/>
  <c r="T61" i="34" s="1"/>
  <c r="T62" i="10"/>
  <c r="T62" i="34" s="1"/>
  <c r="T63" i="10"/>
  <c r="T63" i="34" s="1"/>
  <c r="T64" i="10"/>
  <c r="T64" i="34" s="1"/>
  <c r="T65" i="10"/>
  <c r="S3" i="10"/>
  <c r="S3" i="34" s="1"/>
  <c r="S4" i="10"/>
  <c r="S5" i="10"/>
  <c r="S5" i="34" s="1"/>
  <c r="S6" i="10"/>
  <c r="S6" i="34" s="1"/>
  <c r="S7" i="10"/>
  <c r="S7" i="34" s="1"/>
  <c r="S8" i="10"/>
  <c r="S8" i="34" s="1"/>
  <c r="S9" i="10"/>
  <c r="S9" i="34" s="1"/>
  <c r="S10" i="10"/>
  <c r="S10" i="34" s="1"/>
  <c r="S11" i="10"/>
  <c r="S11" i="34" s="1"/>
  <c r="S12" i="10"/>
  <c r="S12" i="34" s="1"/>
  <c r="S13" i="10"/>
  <c r="S13" i="34" s="1"/>
  <c r="S14" i="10"/>
  <c r="S14" i="34" s="1"/>
  <c r="S15" i="10"/>
  <c r="S16" i="10"/>
  <c r="S17" i="10"/>
  <c r="S17" i="34" s="1"/>
  <c r="S18" i="10"/>
  <c r="S18" i="34" s="1"/>
  <c r="S19" i="10"/>
  <c r="S19" i="34" s="1"/>
  <c r="S20" i="10"/>
  <c r="S20" i="34" s="1"/>
  <c r="S21" i="10"/>
  <c r="S21" i="34" s="1"/>
  <c r="S22" i="10"/>
  <c r="S22" i="34" s="1"/>
  <c r="S23" i="10"/>
  <c r="S23" i="34" s="1"/>
  <c r="S24" i="10"/>
  <c r="S25" i="10"/>
  <c r="S25" i="34" s="1"/>
  <c r="S26" i="10"/>
  <c r="S26" i="34" s="1"/>
  <c r="S27" i="10"/>
  <c r="S28" i="10"/>
  <c r="S28" i="34" s="1"/>
  <c r="S29" i="10"/>
  <c r="S30" i="10"/>
  <c r="S30" i="34" s="1"/>
  <c r="S31" i="10"/>
  <c r="S31" i="34" s="1"/>
  <c r="S32" i="10"/>
  <c r="S33" i="10"/>
  <c r="S33" i="34" s="1"/>
  <c r="S34" i="10"/>
  <c r="S34" i="34" s="1"/>
  <c r="S35" i="10"/>
  <c r="S35" i="34" s="1"/>
  <c r="S36" i="10"/>
  <c r="S36" i="34" s="1"/>
  <c r="S37" i="10"/>
  <c r="S37" i="34" s="1"/>
  <c r="S38" i="10"/>
  <c r="S38" i="34" s="1"/>
  <c r="S39" i="10"/>
  <c r="S39" i="34" s="1"/>
  <c r="S40" i="10"/>
  <c r="S41" i="10"/>
  <c r="S41" i="34" s="1"/>
  <c r="S42" i="10"/>
  <c r="S42" i="34" s="1"/>
  <c r="S43" i="10"/>
  <c r="S43" i="34" s="1"/>
  <c r="S44" i="10"/>
  <c r="S44" i="34" s="1"/>
  <c r="S45" i="10"/>
  <c r="S45" i="34" s="1"/>
  <c r="S46" i="10"/>
  <c r="S46" i="34" s="1"/>
  <c r="S47" i="10"/>
  <c r="S47" i="34" s="1"/>
  <c r="S48" i="10"/>
  <c r="S49" i="10"/>
  <c r="S49" i="34" s="1"/>
  <c r="S50" i="10"/>
  <c r="S51" i="10"/>
  <c r="S51" i="34" s="1"/>
  <c r="S52" i="10"/>
  <c r="S52" i="34" s="1"/>
  <c r="S53" i="10"/>
  <c r="S53" i="34" s="1"/>
  <c r="S54" i="10"/>
  <c r="S54" i="34" s="1"/>
  <c r="S55" i="10"/>
  <c r="S55" i="34" s="1"/>
  <c r="S56" i="10"/>
  <c r="S57" i="10"/>
  <c r="S58" i="10"/>
  <c r="S58" i="34" s="1"/>
  <c r="S59" i="10"/>
  <c r="S59" i="34" s="1"/>
  <c r="S60" i="10"/>
  <c r="S60" i="34" s="1"/>
  <c r="S61" i="10"/>
  <c r="S61" i="34" s="1"/>
  <c r="S62" i="10"/>
  <c r="S62" i="34" s="1"/>
  <c r="S63" i="10"/>
  <c r="S63" i="34" s="1"/>
  <c r="S64" i="10"/>
  <c r="S65" i="10"/>
  <c r="R3" i="10"/>
  <c r="R4" i="10"/>
  <c r="R4" i="34" s="1"/>
  <c r="R5" i="10"/>
  <c r="R5" i="34" s="1"/>
  <c r="R6" i="10"/>
  <c r="R6" i="34" s="1"/>
  <c r="R7" i="10"/>
  <c r="R8" i="10"/>
  <c r="R8" i="34" s="1"/>
  <c r="R9" i="10"/>
  <c r="R9" i="34" s="1"/>
  <c r="R10" i="10"/>
  <c r="R10" i="34" s="1"/>
  <c r="R11" i="10"/>
  <c r="R11" i="34" s="1"/>
  <c r="R12" i="10"/>
  <c r="R12" i="34" s="1"/>
  <c r="R13" i="10"/>
  <c r="R13" i="34" s="1"/>
  <c r="R14" i="10"/>
  <c r="R14" i="34" s="1"/>
  <c r="R15" i="10"/>
  <c r="R16" i="10"/>
  <c r="R17" i="10"/>
  <c r="R17" i="34" s="1"/>
  <c r="R18" i="10"/>
  <c r="R18" i="34" s="1"/>
  <c r="R19" i="10"/>
  <c r="R19" i="34" s="1"/>
  <c r="R20" i="10"/>
  <c r="R20" i="34" s="1"/>
  <c r="R21" i="10"/>
  <c r="R21" i="34" s="1"/>
  <c r="R22" i="10"/>
  <c r="R22" i="34" s="1"/>
  <c r="R23" i="10"/>
  <c r="R24" i="10"/>
  <c r="R25" i="10"/>
  <c r="R25" i="34" s="1"/>
  <c r="R26" i="10"/>
  <c r="R27" i="10"/>
  <c r="R27" i="34" s="1"/>
  <c r="R28" i="10"/>
  <c r="R29" i="10"/>
  <c r="R29" i="34" s="1"/>
  <c r="R30" i="10"/>
  <c r="R30" i="34" s="1"/>
  <c r="R31" i="10"/>
  <c r="R32" i="10"/>
  <c r="R33" i="10"/>
  <c r="R33" i="34" s="1"/>
  <c r="R34" i="10"/>
  <c r="R34" i="34" s="1"/>
  <c r="R35" i="10"/>
  <c r="R35" i="34" s="1"/>
  <c r="R36" i="10"/>
  <c r="R36" i="34" s="1"/>
  <c r="R37" i="10"/>
  <c r="R37" i="34" s="1"/>
  <c r="R38" i="10"/>
  <c r="R39" i="10"/>
  <c r="R40" i="10"/>
  <c r="R41" i="10"/>
  <c r="R41" i="34" s="1"/>
  <c r="R42" i="10"/>
  <c r="R42" i="34" s="1"/>
  <c r="R43" i="10"/>
  <c r="R43" i="34" s="1"/>
  <c r="R44" i="10"/>
  <c r="R44" i="34" s="1"/>
  <c r="R45" i="10"/>
  <c r="R45" i="34" s="1"/>
  <c r="R46" i="10"/>
  <c r="R46" i="34" s="1"/>
  <c r="R47" i="10"/>
  <c r="R48" i="10"/>
  <c r="R49" i="10"/>
  <c r="R50" i="10"/>
  <c r="R50" i="34" s="1"/>
  <c r="R51" i="10"/>
  <c r="R51" i="34" s="1"/>
  <c r="R52" i="10"/>
  <c r="R52" i="34" s="1"/>
  <c r="R53" i="10"/>
  <c r="R53" i="34" s="1"/>
  <c r="R54" i="10"/>
  <c r="R54" i="34" s="1"/>
  <c r="R55" i="10"/>
  <c r="R56" i="10"/>
  <c r="R56" i="34" s="1"/>
  <c r="R57" i="10"/>
  <c r="R57" i="34" s="1"/>
  <c r="R58" i="10"/>
  <c r="R58" i="34" s="1"/>
  <c r="R59" i="10"/>
  <c r="R59" i="34" s="1"/>
  <c r="R60" i="10"/>
  <c r="R60" i="34" s="1"/>
  <c r="R61" i="10"/>
  <c r="R62" i="10"/>
  <c r="R62" i="34" s="1"/>
  <c r="R63" i="10"/>
  <c r="R64" i="10"/>
  <c r="R64" i="34" s="1"/>
  <c r="R65" i="10"/>
  <c r="Q3" i="10"/>
  <c r="Q3" i="34" s="1"/>
  <c r="Q4" i="10"/>
  <c r="Q4" i="34" s="1"/>
  <c r="Q5" i="10"/>
  <c r="Q5" i="34" s="1"/>
  <c r="Q6" i="10"/>
  <c r="Q7" i="10"/>
  <c r="Q7" i="34" s="1"/>
  <c r="Q8" i="10"/>
  <c r="Q8" i="34" s="1"/>
  <c r="Q9" i="10"/>
  <c r="Q9" i="34" s="1"/>
  <c r="Q10" i="10"/>
  <c r="Q10" i="34" s="1"/>
  <c r="Q11" i="10"/>
  <c r="Q11" i="34" s="1"/>
  <c r="Q12" i="10"/>
  <c r="Q12" i="34" s="1"/>
  <c r="Q13" i="10"/>
  <c r="Q13" i="34" s="1"/>
  <c r="Q14" i="10"/>
  <c r="Q14" i="34" s="1"/>
  <c r="Q15" i="10"/>
  <c r="Q16" i="10"/>
  <c r="Q16" i="34" s="1"/>
  <c r="Q17" i="10"/>
  <c r="Q17" i="34" s="1"/>
  <c r="Q18" i="10"/>
  <c r="Q18" i="34" s="1"/>
  <c r="Q19" i="10"/>
  <c r="Q19" i="34" s="1"/>
  <c r="Q20" i="10"/>
  <c r="Q20" i="34" s="1"/>
  <c r="Q21" i="10"/>
  <c r="Q21" i="34" s="1"/>
  <c r="Q22" i="10"/>
  <c r="Q23" i="10"/>
  <c r="Q24" i="10"/>
  <c r="Q24" i="34" s="1"/>
  <c r="Q25" i="10"/>
  <c r="Q26" i="10"/>
  <c r="Q26" i="34" s="1"/>
  <c r="Q27" i="10"/>
  <c r="Q28" i="10"/>
  <c r="Q28" i="34" s="1"/>
  <c r="Q29" i="10"/>
  <c r="Q29" i="34" s="1"/>
  <c r="Q30" i="10"/>
  <c r="Q31" i="10"/>
  <c r="Q32" i="10"/>
  <c r="Q32" i="34" s="1"/>
  <c r="Q33" i="10"/>
  <c r="Q33" i="34" s="1"/>
  <c r="Q34" i="10"/>
  <c r="Q34" i="34" s="1"/>
  <c r="Q35" i="10"/>
  <c r="Q35" i="34" s="1"/>
  <c r="Q36" i="10"/>
  <c r="Q36" i="34" s="1"/>
  <c r="Q37" i="10"/>
  <c r="Q38" i="10"/>
  <c r="Q39" i="10"/>
  <c r="Q40" i="10"/>
  <c r="Q40" i="34" s="1"/>
  <c r="Q41" i="10"/>
  <c r="Q41" i="34" s="1"/>
  <c r="Q42" i="10"/>
  <c r="Q42" i="34" s="1"/>
  <c r="Q43" i="10"/>
  <c r="Q43" i="34" s="1"/>
  <c r="Q44" i="10"/>
  <c r="Q44" i="34" s="1"/>
  <c r="Q45" i="10"/>
  <c r="Q45" i="34" s="1"/>
  <c r="Q46" i="10"/>
  <c r="Q47" i="10"/>
  <c r="Q48" i="10"/>
  <c r="Q48" i="34" s="1"/>
  <c r="Q49" i="10"/>
  <c r="Q49" i="34" s="1"/>
  <c r="Q50" i="10"/>
  <c r="Q50" i="34" s="1"/>
  <c r="Q51" i="10"/>
  <c r="Q51" i="34" s="1"/>
  <c r="Q52" i="10"/>
  <c r="Q52" i="34" s="1"/>
  <c r="Q53" i="10"/>
  <c r="Q53" i="34" s="1"/>
  <c r="Q54" i="10"/>
  <c r="Q55" i="10"/>
  <c r="Q55" i="34" s="1"/>
  <c r="Q56" i="10"/>
  <c r="Q57" i="10"/>
  <c r="Q57" i="34" s="1"/>
  <c r="Q58" i="10"/>
  <c r="Q58" i="34" s="1"/>
  <c r="Q59" i="10"/>
  <c r="Q59" i="34" s="1"/>
  <c r="Q60" i="10"/>
  <c r="Q61" i="10"/>
  <c r="Q61" i="34" s="1"/>
  <c r="Q62" i="10"/>
  <c r="Q63" i="10"/>
  <c r="Q63" i="34" s="1"/>
  <c r="Q64" i="10"/>
  <c r="Q64" i="34" s="1"/>
  <c r="Q65" i="10"/>
  <c r="P3" i="10"/>
  <c r="P3" i="34" s="1"/>
  <c r="P4" i="10"/>
  <c r="P4" i="34" s="1"/>
  <c r="P5" i="10"/>
  <c r="P6" i="10"/>
  <c r="P6" i="34" s="1"/>
  <c r="P7" i="10"/>
  <c r="P7" i="34" s="1"/>
  <c r="P8" i="10"/>
  <c r="P8" i="34" s="1"/>
  <c r="P9" i="10"/>
  <c r="P9" i="34" s="1"/>
  <c r="P10" i="10"/>
  <c r="P10" i="34" s="1"/>
  <c r="P11" i="10"/>
  <c r="P11" i="34" s="1"/>
  <c r="P12" i="10"/>
  <c r="P12" i="34" s="1"/>
  <c r="P13" i="10"/>
  <c r="P14" i="10"/>
  <c r="P15" i="10"/>
  <c r="P15" i="34" s="1"/>
  <c r="P16" i="10"/>
  <c r="P16" i="34" s="1"/>
  <c r="P17" i="10"/>
  <c r="P17" i="34" s="1"/>
  <c r="P18" i="10"/>
  <c r="P18" i="34" s="1"/>
  <c r="P19" i="10"/>
  <c r="P19" i="34" s="1"/>
  <c r="P20" i="10"/>
  <c r="P21" i="10"/>
  <c r="P22" i="10"/>
  <c r="P23" i="10"/>
  <c r="P23" i="34" s="1"/>
  <c r="P24" i="10"/>
  <c r="P24" i="34" s="1"/>
  <c r="P25" i="10"/>
  <c r="P25" i="34" s="1"/>
  <c r="P26" i="10"/>
  <c r="P27" i="10"/>
  <c r="P27" i="34" s="1"/>
  <c r="P28" i="10"/>
  <c r="P28" i="34" s="1"/>
  <c r="P29" i="10"/>
  <c r="P30" i="10"/>
  <c r="P31" i="10"/>
  <c r="P31" i="34" s="1"/>
  <c r="P32" i="10"/>
  <c r="P33" i="10"/>
  <c r="P34" i="10"/>
  <c r="P35" i="10"/>
  <c r="P36" i="10"/>
  <c r="P37" i="10"/>
  <c r="P38" i="10"/>
  <c r="P39" i="10"/>
  <c r="P39" i="34" s="1"/>
  <c r="P40" i="10"/>
  <c r="P40" i="34" s="1"/>
  <c r="P41" i="10"/>
  <c r="P41" i="34" s="1"/>
  <c r="P42" i="10"/>
  <c r="P43" i="10"/>
  <c r="P44" i="10"/>
  <c r="P45" i="10"/>
  <c r="P46" i="10"/>
  <c r="P47" i="10"/>
  <c r="P47" i="34" s="1"/>
  <c r="P48" i="10"/>
  <c r="P48" i="34" s="1"/>
  <c r="P49" i="10"/>
  <c r="P50" i="10"/>
  <c r="P51" i="10"/>
  <c r="P52" i="10"/>
  <c r="P53" i="10"/>
  <c r="P54" i="10"/>
  <c r="P54" i="34" s="1"/>
  <c r="P55" i="10"/>
  <c r="P56" i="10"/>
  <c r="P56" i="34" s="1"/>
  <c r="P57" i="10"/>
  <c r="P58" i="10"/>
  <c r="P59" i="10"/>
  <c r="P60" i="10"/>
  <c r="P61" i="10"/>
  <c r="P62" i="10"/>
  <c r="P62" i="34" s="1"/>
  <c r="P63" i="10"/>
  <c r="P63" i="34" s="1"/>
  <c r="P64" i="10"/>
  <c r="P64" i="34" s="1"/>
  <c r="P65" i="10"/>
  <c r="O3" i="10"/>
  <c r="O4" i="10"/>
  <c r="O5" i="10"/>
  <c r="O5" i="34" s="1"/>
  <c r="O6" i="10"/>
  <c r="O6" i="34" s="1"/>
  <c r="O7" i="10"/>
  <c r="O7" i="34" s="1"/>
  <c r="O8" i="10"/>
  <c r="O9" i="10"/>
  <c r="O10" i="10"/>
  <c r="O10" i="34" s="1"/>
  <c r="O11" i="10"/>
  <c r="O12" i="10"/>
  <c r="O13" i="10"/>
  <c r="O14" i="10"/>
  <c r="O14" i="34" s="1"/>
  <c r="O15" i="10"/>
  <c r="O15" i="34" s="1"/>
  <c r="O16" i="10"/>
  <c r="O17" i="10"/>
  <c r="O18" i="10"/>
  <c r="O18" i="34" s="1"/>
  <c r="O19" i="10"/>
  <c r="O20" i="10"/>
  <c r="O21" i="10"/>
  <c r="O22" i="10"/>
  <c r="O22" i="34" s="1"/>
  <c r="O23" i="10"/>
  <c r="O23" i="34" s="1"/>
  <c r="O24" i="10"/>
  <c r="O25" i="10"/>
  <c r="O26" i="10"/>
  <c r="O26" i="34" s="1"/>
  <c r="O27" i="10"/>
  <c r="O28" i="10"/>
  <c r="O28" i="34" s="1"/>
  <c r="O29" i="10"/>
  <c r="O30" i="10"/>
  <c r="O30" i="34" s="1"/>
  <c r="O31" i="10"/>
  <c r="O32" i="10"/>
  <c r="O33" i="10"/>
  <c r="O34" i="10"/>
  <c r="O35" i="10"/>
  <c r="O36" i="10"/>
  <c r="O37" i="10"/>
  <c r="O38" i="10"/>
  <c r="O38" i="34" s="1"/>
  <c r="O39" i="10"/>
  <c r="O39" i="34" s="1"/>
  <c r="O40" i="10"/>
  <c r="O41" i="10"/>
  <c r="O42" i="10"/>
  <c r="O43" i="10"/>
  <c r="O43" i="34" s="1"/>
  <c r="O44" i="10"/>
  <c r="O45" i="10"/>
  <c r="O46" i="10"/>
  <c r="O46" i="34" s="1"/>
  <c r="O47" i="10"/>
  <c r="O47" i="34" s="1"/>
  <c r="O48" i="10"/>
  <c r="O49" i="10"/>
  <c r="O50" i="10"/>
  <c r="O51" i="10"/>
  <c r="O52" i="10"/>
  <c r="O53" i="10"/>
  <c r="O53" i="34" s="1"/>
  <c r="O54" i="10"/>
  <c r="O55" i="10"/>
  <c r="O55" i="34" s="1"/>
  <c r="O56" i="10"/>
  <c r="O56" i="34" s="1"/>
  <c r="O57" i="10"/>
  <c r="O58" i="10"/>
  <c r="O59" i="10"/>
  <c r="O60" i="10"/>
  <c r="O61" i="10"/>
  <c r="O61" i="34" s="1"/>
  <c r="O62" i="10"/>
  <c r="O62" i="34" s="1"/>
  <c r="O63" i="10"/>
  <c r="O63" i="34" s="1"/>
  <c r="O64" i="10"/>
  <c r="O65" i="10"/>
  <c r="N3" i="10"/>
  <c r="N4" i="10"/>
  <c r="N4" i="34" s="1"/>
  <c r="N5" i="10"/>
  <c r="N5" i="34" s="1"/>
  <c r="N6" i="10"/>
  <c r="N6" i="34" s="1"/>
  <c r="N7" i="10"/>
  <c r="N8" i="10"/>
  <c r="N9" i="10"/>
  <c r="N9" i="34" s="1"/>
  <c r="N10" i="10"/>
  <c r="N11" i="10"/>
  <c r="N12" i="10"/>
  <c r="N13" i="10"/>
  <c r="N13" i="34" s="1"/>
  <c r="N14" i="10"/>
  <c r="N14" i="34" s="1"/>
  <c r="N15" i="10"/>
  <c r="N16" i="10"/>
  <c r="N17" i="10"/>
  <c r="N17" i="34" s="1"/>
  <c r="N18" i="10"/>
  <c r="N19" i="10"/>
  <c r="N20" i="10"/>
  <c r="N21" i="10"/>
  <c r="N21" i="34" s="1"/>
  <c r="N22" i="10"/>
  <c r="N22" i="34" s="1"/>
  <c r="N23" i="10"/>
  <c r="N24" i="10"/>
  <c r="N24" i="34" s="1"/>
  <c r="N25" i="10"/>
  <c r="N25" i="34" s="1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2" i="34" s="1"/>
  <c r="N53" i="10"/>
  <c r="N54" i="10"/>
  <c r="N55" i="10"/>
  <c r="N56" i="10"/>
  <c r="N57" i="10"/>
  <c r="N58" i="10"/>
  <c r="N59" i="10"/>
  <c r="N60" i="10"/>
  <c r="N60" i="34" s="1"/>
  <c r="N61" i="10"/>
  <c r="N62" i="10"/>
  <c r="N63" i="10"/>
  <c r="N63" i="34" s="1"/>
  <c r="N64" i="10"/>
  <c r="N65" i="10"/>
  <c r="M3" i="10"/>
  <c r="M3" i="34" s="1"/>
  <c r="M4" i="10"/>
  <c r="M5" i="10"/>
  <c r="M5" i="34" s="1"/>
  <c r="M6" i="10"/>
  <c r="M7" i="10"/>
  <c r="M8" i="10"/>
  <c r="M9" i="10"/>
  <c r="M10" i="10"/>
  <c r="M11" i="10"/>
  <c r="M12" i="10"/>
  <c r="M13" i="10"/>
  <c r="M14" i="10"/>
  <c r="M15" i="10"/>
  <c r="M16" i="10"/>
  <c r="M16" i="34" s="1"/>
  <c r="M17" i="10"/>
  <c r="M18" i="10"/>
  <c r="M19" i="10"/>
  <c r="M20" i="10"/>
  <c r="M20" i="34" s="1"/>
  <c r="M21" i="10"/>
  <c r="M22" i="10"/>
  <c r="M23" i="10"/>
  <c r="M24" i="10"/>
  <c r="M24" i="34" s="1"/>
  <c r="M25" i="10"/>
  <c r="M26" i="10"/>
  <c r="M27" i="10"/>
  <c r="M28" i="10"/>
  <c r="M29" i="10"/>
  <c r="M30" i="10"/>
  <c r="M31" i="10"/>
  <c r="M32" i="10"/>
  <c r="M32" i="34" s="1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1" i="34" s="1"/>
  <c r="M52" i="10"/>
  <c r="M53" i="10"/>
  <c r="M54" i="10"/>
  <c r="M55" i="10"/>
  <c r="M56" i="10"/>
  <c r="M57" i="10"/>
  <c r="M58" i="10"/>
  <c r="M59" i="10"/>
  <c r="M59" i="34" s="1"/>
  <c r="M60" i="10"/>
  <c r="M61" i="10"/>
  <c r="M62" i="10"/>
  <c r="M63" i="10"/>
  <c r="M64" i="10"/>
  <c r="M65" i="10"/>
  <c r="L3" i="10"/>
  <c r="L4" i="10"/>
  <c r="L5" i="10"/>
  <c r="L6" i="10"/>
  <c r="L7" i="10"/>
  <c r="L8" i="10"/>
  <c r="L9" i="10"/>
  <c r="L10" i="10"/>
  <c r="L11" i="10"/>
  <c r="L12" i="10"/>
  <c r="L13" i="10"/>
  <c r="L13" i="34" s="1"/>
  <c r="L14" i="10"/>
  <c r="L15" i="10"/>
  <c r="L16" i="10"/>
  <c r="L17" i="10"/>
  <c r="L17" i="34" s="1"/>
  <c r="L18" i="10"/>
  <c r="L19" i="10"/>
  <c r="L20" i="10"/>
  <c r="L20" i="34" s="1"/>
  <c r="L21" i="10"/>
  <c r="L22" i="10"/>
  <c r="L23" i="10"/>
  <c r="L23" i="34" s="1"/>
  <c r="L24" i="10"/>
  <c r="L25" i="10"/>
  <c r="L26" i="10"/>
  <c r="L27" i="10"/>
  <c r="L27" i="34" s="1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8" i="34" s="1"/>
  <c r="L49" i="10"/>
  <c r="L50" i="10"/>
  <c r="L50" i="34" s="1"/>
  <c r="L51" i="10"/>
  <c r="L52" i="10"/>
  <c r="L53" i="10"/>
  <c r="L54" i="10"/>
  <c r="L55" i="10"/>
  <c r="L56" i="10"/>
  <c r="L57" i="10"/>
  <c r="L58" i="10"/>
  <c r="L58" i="34" s="1"/>
  <c r="L59" i="10"/>
  <c r="L60" i="10"/>
  <c r="L61" i="10"/>
  <c r="L62" i="10"/>
  <c r="L63" i="10"/>
  <c r="L64" i="10"/>
  <c r="L65" i="10"/>
  <c r="K3" i="10"/>
  <c r="K4" i="10"/>
  <c r="K5" i="10"/>
  <c r="K6" i="10"/>
  <c r="K7" i="10"/>
  <c r="K8" i="10"/>
  <c r="K9" i="10"/>
  <c r="K10" i="10"/>
  <c r="K11" i="10"/>
  <c r="K12" i="10"/>
  <c r="K13" i="10"/>
  <c r="K13" i="34" s="1"/>
  <c r="K14" i="10"/>
  <c r="K15" i="10"/>
  <c r="K16" i="10"/>
  <c r="K17" i="10"/>
  <c r="K18" i="10"/>
  <c r="K19" i="10"/>
  <c r="K20" i="10"/>
  <c r="K20" i="34" s="1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4" i="34" s="1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49" i="34" s="1"/>
  <c r="K50" i="10"/>
  <c r="K51" i="10"/>
  <c r="K52" i="10"/>
  <c r="K53" i="10"/>
  <c r="K54" i="10"/>
  <c r="K55" i="10"/>
  <c r="K56" i="10"/>
  <c r="K57" i="10"/>
  <c r="K57" i="34" s="1"/>
  <c r="K58" i="10"/>
  <c r="K59" i="10"/>
  <c r="K60" i="10"/>
  <c r="K61" i="10"/>
  <c r="K62" i="10"/>
  <c r="K63" i="10"/>
  <c r="K64" i="10"/>
  <c r="K65" i="10"/>
  <c r="J3" i="10"/>
  <c r="J4" i="10"/>
  <c r="J5" i="10"/>
  <c r="J6" i="10"/>
  <c r="J7" i="10"/>
  <c r="J8" i="10"/>
  <c r="J8" i="34" s="1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7" i="34" s="1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1" i="34" s="1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6" i="34" s="1"/>
  <c r="J57" i="10"/>
  <c r="J58" i="10"/>
  <c r="J59" i="10"/>
  <c r="J60" i="10"/>
  <c r="J61" i="10"/>
  <c r="J62" i="10"/>
  <c r="J63" i="10"/>
  <c r="J64" i="10"/>
  <c r="J64" i="34" s="1"/>
  <c r="J65" i="10"/>
  <c r="I3" i="10"/>
  <c r="I4" i="10"/>
  <c r="I5" i="10"/>
  <c r="I6" i="10"/>
  <c r="I7" i="10"/>
  <c r="I7" i="34" s="1"/>
  <c r="I8" i="10"/>
  <c r="I9" i="10"/>
  <c r="I10" i="10"/>
  <c r="I11" i="10"/>
  <c r="I12" i="10"/>
  <c r="I12" i="34" s="1"/>
  <c r="I13" i="10"/>
  <c r="I14" i="10"/>
  <c r="I14" i="34" s="1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4" i="34" s="1"/>
  <c r="I35" i="10"/>
  <c r="I36" i="10"/>
  <c r="I37" i="10"/>
  <c r="I37" i="34" s="1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5" i="34" s="1"/>
  <c r="I56" i="10"/>
  <c r="I57" i="10"/>
  <c r="I58" i="10"/>
  <c r="I58" i="34" s="1"/>
  <c r="I59" i="10"/>
  <c r="I60" i="10"/>
  <c r="I61" i="10"/>
  <c r="I62" i="10"/>
  <c r="I63" i="10"/>
  <c r="I63" i="34" s="1"/>
  <c r="I64" i="10"/>
  <c r="I64" i="34" s="1"/>
  <c r="I65" i="10"/>
  <c r="H3" i="10"/>
  <c r="H4" i="10"/>
  <c r="H5" i="10"/>
  <c r="H6" i="10"/>
  <c r="H6" i="34" s="1"/>
  <c r="H7" i="10"/>
  <c r="H8" i="10"/>
  <c r="H8" i="34" s="1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4" i="34" s="1"/>
  <c r="H55" i="10"/>
  <c r="H56" i="10"/>
  <c r="H57" i="10"/>
  <c r="H58" i="10"/>
  <c r="H59" i="10"/>
  <c r="H60" i="10"/>
  <c r="H61" i="10"/>
  <c r="H62" i="10"/>
  <c r="H62" i="34" s="1"/>
  <c r="H63" i="10"/>
  <c r="H64" i="10"/>
  <c r="H65" i="10"/>
  <c r="G3" i="10"/>
  <c r="G4" i="10"/>
  <c r="G5" i="10"/>
  <c r="G5" i="34" s="1"/>
  <c r="G6" i="10"/>
  <c r="G6" i="34" s="1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6" i="34" s="1"/>
  <c r="G27" i="10"/>
  <c r="G28" i="10"/>
  <c r="G28" i="34" s="1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1" i="34" s="1"/>
  <c r="G52" i="10"/>
  <c r="G53" i="10"/>
  <c r="G53" i="34" s="1"/>
  <c r="G54" i="10"/>
  <c r="G55" i="10"/>
  <c r="G56" i="10"/>
  <c r="G57" i="10"/>
  <c r="G58" i="10"/>
  <c r="G59" i="10"/>
  <c r="G60" i="10"/>
  <c r="G61" i="10"/>
  <c r="G61" i="34" s="1"/>
  <c r="G62" i="10"/>
  <c r="G63" i="10"/>
  <c r="G64" i="10"/>
  <c r="G64" i="34" s="1"/>
  <c r="G65" i="10"/>
  <c r="G67" i="10"/>
  <c r="G4" i="13" s="1"/>
  <c r="F3" i="10"/>
  <c r="F4" i="10"/>
  <c r="F4" i="34" s="1"/>
  <c r="F5" i="10"/>
  <c r="F6" i="10"/>
  <c r="F7" i="10"/>
  <c r="F8" i="10"/>
  <c r="F9" i="10"/>
  <c r="F10" i="10"/>
  <c r="F11" i="10"/>
  <c r="F12" i="10"/>
  <c r="F13" i="10"/>
  <c r="F13" i="34" s="1"/>
  <c r="F14" i="10"/>
  <c r="F15" i="10"/>
  <c r="F16" i="10"/>
  <c r="F17" i="10"/>
  <c r="F18" i="10"/>
  <c r="F19" i="10"/>
  <c r="F20" i="10"/>
  <c r="F21" i="10"/>
  <c r="F22" i="10"/>
  <c r="F22" i="34" s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2" i="34" s="1"/>
  <c r="F53" i="10"/>
  <c r="F54" i="10"/>
  <c r="F55" i="10"/>
  <c r="F56" i="10"/>
  <c r="F57" i="10"/>
  <c r="F58" i="10"/>
  <c r="F59" i="10"/>
  <c r="F60" i="10"/>
  <c r="F60" i="34" s="1"/>
  <c r="F61" i="10"/>
  <c r="F62" i="10"/>
  <c r="F63" i="10"/>
  <c r="F64" i="10"/>
  <c r="F65" i="10"/>
  <c r="E3" i="10"/>
  <c r="E3" i="34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0" i="34" s="1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0" i="34" s="1"/>
  <c r="E41" i="10"/>
  <c r="E42" i="10"/>
  <c r="E43" i="10"/>
  <c r="E44" i="10"/>
  <c r="E45" i="10"/>
  <c r="E46" i="10"/>
  <c r="E47" i="10"/>
  <c r="E48" i="10"/>
  <c r="E49" i="10"/>
  <c r="E50" i="10"/>
  <c r="E51" i="10"/>
  <c r="E51" i="34" s="1"/>
  <c r="E52" i="10"/>
  <c r="E53" i="10"/>
  <c r="E54" i="10"/>
  <c r="E55" i="10"/>
  <c r="E56" i="10"/>
  <c r="E57" i="10"/>
  <c r="E58" i="10"/>
  <c r="E59" i="10"/>
  <c r="E59" i="34" s="1"/>
  <c r="E60" i="10"/>
  <c r="E61" i="10"/>
  <c r="E62" i="10"/>
  <c r="E63" i="10"/>
  <c r="E64" i="10"/>
  <c r="E6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7" i="34" s="1"/>
  <c r="D18" i="10"/>
  <c r="D19" i="10"/>
  <c r="D20" i="10"/>
  <c r="D21" i="10"/>
  <c r="D22" i="10"/>
  <c r="D23" i="10"/>
  <c r="D23" i="34" s="1"/>
  <c r="D24" i="10"/>
  <c r="D25" i="10"/>
  <c r="D26" i="10"/>
  <c r="D27" i="10"/>
  <c r="D27" i="34" s="1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6" i="34" s="1"/>
  <c r="D47" i="10"/>
  <c r="D48" i="10"/>
  <c r="D48" i="34" s="1"/>
  <c r="D49" i="10"/>
  <c r="D50" i="10"/>
  <c r="D50" i="34" s="1"/>
  <c r="D51" i="10"/>
  <c r="D52" i="10"/>
  <c r="D53" i="10"/>
  <c r="D53" i="34" s="1"/>
  <c r="D54" i="10"/>
  <c r="D55" i="10"/>
  <c r="D56" i="10"/>
  <c r="D57" i="10"/>
  <c r="D58" i="10"/>
  <c r="D58" i="34" s="1"/>
  <c r="D59" i="10"/>
  <c r="D60" i="10"/>
  <c r="D61" i="10"/>
  <c r="D62" i="10"/>
  <c r="D63" i="10"/>
  <c r="D64" i="10"/>
  <c r="D65" i="10"/>
  <c r="C3" i="10"/>
  <c r="C4" i="10"/>
  <c r="C5" i="10"/>
  <c r="C5" i="34" s="1"/>
  <c r="C6" i="10"/>
  <c r="C6" i="34" s="1"/>
  <c r="C7" i="10"/>
  <c r="C7" i="34" s="1"/>
  <c r="C8" i="10"/>
  <c r="C8" i="34" s="1"/>
  <c r="C9" i="10"/>
  <c r="C9" i="34" s="1"/>
  <c r="C10" i="10"/>
  <c r="C11" i="10"/>
  <c r="C12" i="10"/>
  <c r="C13" i="10"/>
  <c r="C13" i="34" s="1"/>
  <c r="C14" i="10"/>
  <c r="C14" i="34" s="1"/>
  <c r="C15" i="10"/>
  <c r="C15" i="34" s="1"/>
  <c r="C16" i="10"/>
  <c r="C16" i="34" s="1"/>
  <c r="C17" i="10"/>
  <c r="C17" i="34" s="1"/>
  <c r="C18" i="10"/>
  <c r="C19" i="10"/>
  <c r="C20" i="10"/>
  <c r="C21" i="10"/>
  <c r="C21" i="34" s="1"/>
  <c r="C22" i="10"/>
  <c r="C22" i="34" s="1"/>
  <c r="C23" i="10"/>
  <c r="C23" i="34" s="1"/>
  <c r="C24" i="10"/>
  <c r="C24" i="34" s="1"/>
  <c r="C25" i="10"/>
  <c r="C26" i="10"/>
  <c r="C27" i="10"/>
  <c r="C28" i="10"/>
  <c r="C29" i="10"/>
  <c r="C29" i="34" s="1"/>
  <c r="C30" i="10"/>
  <c r="C30" i="34" s="1"/>
  <c r="C31" i="10"/>
  <c r="C31" i="34" s="1"/>
  <c r="C32" i="10"/>
  <c r="C32" i="34" s="1"/>
  <c r="C33" i="10"/>
  <c r="C34" i="10"/>
  <c r="C35" i="10"/>
  <c r="C36" i="10"/>
  <c r="C37" i="10"/>
  <c r="C37" i="34" s="1"/>
  <c r="C38" i="10"/>
  <c r="C38" i="34" s="1"/>
  <c r="C39" i="10"/>
  <c r="C39" i="34" s="1"/>
  <c r="C40" i="10"/>
  <c r="C40" i="34" s="1"/>
  <c r="C41" i="10"/>
  <c r="C42" i="10"/>
  <c r="C43" i="10"/>
  <c r="C44" i="10"/>
  <c r="C45" i="10"/>
  <c r="C45" i="34" s="1"/>
  <c r="C46" i="10"/>
  <c r="C46" i="34" s="1"/>
  <c r="C47" i="10"/>
  <c r="C47" i="34" s="1"/>
  <c r="C48" i="10"/>
  <c r="C48" i="34" s="1"/>
  <c r="C49" i="10"/>
  <c r="C50" i="10"/>
  <c r="C51" i="10"/>
  <c r="C52" i="10"/>
  <c r="C53" i="10"/>
  <c r="C53" i="34" s="1"/>
  <c r="C54" i="10"/>
  <c r="C54" i="34" s="1"/>
  <c r="C55" i="10"/>
  <c r="C55" i="34" s="1"/>
  <c r="C56" i="10"/>
  <c r="C56" i="34" s="1"/>
  <c r="C57" i="10"/>
  <c r="C57" i="34" s="1"/>
  <c r="C58" i="10"/>
  <c r="C59" i="10"/>
  <c r="C60" i="10"/>
  <c r="C61" i="10"/>
  <c r="C61" i="34" s="1"/>
  <c r="C62" i="10"/>
  <c r="C62" i="34" s="1"/>
  <c r="C63" i="10"/>
  <c r="C63" i="34" s="1"/>
  <c r="C64" i="10"/>
  <c r="C64" i="34" s="1"/>
  <c r="C65" i="10"/>
  <c r="D2" i="10"/>
  <c r="E2" i="10"/>
  <c r="F2" i="10"/>
  <c r="G2" i="10"/>
  <c r="H2" i="10"/>
  <c r="I2" i="10"/>
  <c r="J2" i="10"/>
  <c r="K2" i="10"/>
  <c r="L2" i="10"/>
  <c r="L2" i="34" s="1"/>
  <c r="M2" i="10"/>
  <c r="N2" i="10"/>
  <c r="O2" i="10"/>
  <c r="P2" i="10"/>
  <c r="Q2" i="10"/>
  <c r="R2" i="10"/>
  <c r="S2" i="10"/>
  <c r="T2" i="10"/>
  <c r="C2" i="10"/>
  <c r="H67" i="10"/>
  <c r="H4" i="13" s="1"/>
  <c r="I67" i="10"/>
  <c r="I4" i="13" s="1"/>
  <c r="J67" i="10"/>
  <c r="J4" i="13" s="1"/>
  <c r="L67" i="10"/>
  <c r="L4" i="13" s="1"/>
  <c r="N67" i="10"/>
  <c r="N4" i="13" s="1"/>
  <c r="F66" i="10"/>
  <c r="F3" i="13" s="1"/>
  <c r="G66" i="10"/>
  <c r="G3" i="13" s="1"/>
  <c r="H66" i="10"/>
  <c r="H3" i="13" s="1"/>
  <c r="I66" i="10"/>
  <c r="I3" i="13" s="1"/>
  <c r="J66" i="10"/>
  <c r="J3" i="13" s="1"/>
  <c r="K66" i="10"/>
  <c r="K3" i="13" s="1"/>
  <c r="C65" i="34" l="1"/>
  <c r="C2" i="13"/>
  <c r="S65" i="34"/>
  <c r="S2" i="13"/>
  <c r="O65" i="34"/>
  <c r="O2" i="13"/>
  <c r="N65" i="34"/>
  <c r="N2" i="13"/>
  <c r="P65" i="34"/>
  <c r="P2" i="13"/>
  <c r="R65" i="34"/>
  <c r="R2" i="13"/>
  <c r="Q65" i="34"/>
  <c r="Q2" i="13"/>
  <c r="M65" i="34"/>
  <c r="M2" i="13"/>
  <c r="L65" i="34"/>
  <c r="L2" i="13"/>
  <c r="T65" i="34"/>
  <c r="T2" i="13"/>
  <c r="I65" i="34"/>
  <c r="I2" i="13"/>
  <c r="K65" i="34"/>
  <c r="K2" i="13"/>
  <c r="J65" i="34"/>
  <c r="J2" i="13"/>
  <c r="G65" i="34"/>
  <c r="G2" i="13"/>
  <c r="F65" i="34"/>
  <c r="F2" i="13"/>
  <c r="H65" i="34"/>
  <c r="H2" i="13"/>
  <c r="D65" i="34"/>
  <c r="D2" i="13"/>
  <c r="E65" i="34"/>
  <c r="E2" i="13"/>
  <c r="C65" i="33"/>
  <c r="T13" i="33"/>
  <c r="S20" i="33"/>
  <c r="T34" i="33"/>
  <c r="T42" i="33"/>
  <c r="T27" i="33"/>
  <c r="R27" i="33"/>
  <c r="S6" i="33"/>
  <c r="O6" i="33"/>
  <c r="R13" i="33"/>
  <c r="S19" i="33"/>
  <c r="Q21" i="33"/>
  <c r="O63" i="33"/>
  <c r="T18" i="33"/>
  <c r="O65" i="33"/>
  <c r="S7" i="33"/>
  <c r="T26" i="33"/>
  <c r="T65" i="33"/>
  <c r="T7" i="33"/>
  <c r="S14" i="33"/>
  <c r="R21" i="33"/>
  <c r="S41" i="33"/>
  <c r="N13" i="33"/>
  <c r="O26" i="33"/>
  <c r="N65" i="33"/>
  <c r="Q19" i="33"/>
  <c r="T15" i="33"/>
  <c r="S22" i="33"/>
  <c r="R29" i="33"/>
  <c r="S49" i="33"/>
  <c r="L27" i="33"/>
  <c r="L48" i="33"/>
  <c r="M65" i="33"/>
  <c r="S33" i="33"/>
  <c r="T23" i="33"/>
  <c r="S30" i="33"/>
  <c r="R37" i="33"/>
  <c r="R8" i="33"/>
  <c r="T12" i="33"/>
  <c r="L17" i="33"/>
  <c r="Q34" i="33"/>
  <c r="T31" i="33"/>
  <c r="S38" i="33"/>
  <c r="R45" i="33"/>
  <c r="Q7" i="33"/>
  <c r="L65" i="33"/>
  <c r="P41" i="33"/>
  <c r="T39" i="33"/>
  <c r="S46" i="33"/>
  <c r="R53" i="33"/>
  <c r="T50" i="33"/>
  <c r="S34" i="33"/>
  <c r="R34" i="33"/>
  <c r="O61" i="33"/>
  <c r="S65" i="33"/>
  <c r="S5" i="33"/>
  <c r="T47" i="33"/>
  <c r="S54" i="33"/>
  <c r="Q28" i="33"/>
  <c r="S9" i="33"/>
  <c r="R41" i="33"/>
  <c r="Q41" i="33"/>
  <c r="L50" i="33"/>
  <c r="R65" i="33"/>
  <c r="R12" i="33"/>
  <c r="T55" i="33"/>
  <c r="R5" i="33"/>
  <c r="R14" i="33"/>
  <c r="S25" i="33"/>
  <c r="Q64" i="33"/>
  <c r="P56" i="33"/>
  <c r="P65" i="33"/>
  <c r="Q65" i="33"/>
  <c r="G61" i="33"/>
  <c r="G65" i="33"/>
  <c r="I14" i="33"/>
  <c r="F65" i="33"/>
  <c r="G28" i="33"/>
  <c r="E65" i="33"/>
  <c r="K34" i="33"/>
  <c r="I58" i="33"/>
  <c r="K65" i="33"/>
  <c r="J41" i="33"/>
  <c r="G64" i="33"/>
  <c r="H65" i="33"/>
  <c r="J65" i="33"/>
  <c r="I12" i="33"/>
  <c r="I7" i="33"/>
  <c r="I65" i="33"/>
  <c r="D53" i="33"/>
  <c r="D50" i="33"/>
  <c r="D65" i="33"/>
  <c r="H66" i="34"/>
  <c r="H66" i="33"/>
  <c r="I67" i="34"/>
  <c r="I67" i="33"/>
  <c r="K66" i="34"/>
  <c r="K66" i="33"/>
  <c r="I66" i="34"/>
  <c r="I66" i="33"/>
  <c r="J67" i="34"/>
  <c r="J67" i="33"/>
  <c r="N67" i="34"/>
  <c r="N67" i="33"/>
  <c r="K67" i="27"/>
  <c r="K67" i="29"/>
  <c r="D57" i="34"/>
  <c r="D57" i="33"/>
  <c r="D33" i="34"/>
  <c r="D33" i="33"/>
  <c r="E57" i="34"/>
  <c r="E57" i="33"/>
  <c r="E25" i="34"/>
  <c r="E25" i="33"/>
  <c r="F58" i="34"/>
  <c r="F58" i="33"/>
  <c r="F26" i="34"/>
  <c r="F26" i="33"/>
  <c r="F10" i="34"/>
  <c r="F10" i="33"/>
  <c r="G43" i="34"/>
  <c r="G43" i="33"/>
  <c r="G3" i="34"/>
  <c r="G3" i="33"/>
  <c r="H52" i="34"/>
  <c r="H52" i="33"/>
  <c r="H12" i="34"/>
  <c r="H12" i="33"/>
  <c r="I45" i="34"/>
  <c r="I45" i="33"/>
  <c r="I5" i="34"/>
  <c r="I5" i="33"/>
  <c r="J38" i="34"/>
  <c r="J38" i="33"/>
  <c r="K63" i="34"/>
  <c r="K63" i="33"/>
  <c r="K23" i="34"/>
  <c r="K23" i="33"/>
  <c r="M39" i="34"/>
  <c r="M39" i="33"/>
  <c r="N64" i="34"/>
  <c r="N64" i="33"/>
  <c r="O64" i="34"/>
  <c r="O64" i="33"/>
  <c r="O40" i="34"/>
  <c r="O40" i="33"/>
  <c r="R67" i="27"/>
  <c r="R67" i="29"/>
  <c r="R67" i="10"/>
  <c r="R4" i="13" s="1"/>
  <c r="D56" i="34"/>
  <c r="D56" i="33"/>
  <c r="D24" i="34"/>
  <c r="D24" i="33"/>
  <c r="E56" i="34"/>
  <c r="E56" i="33"/>
  <c r="E32" i="34"/>
  <c r="E32" i="33"/>
  <c r="F57" i="34"/>
  <c r="F57" i="33"/>
  <c r="F9" i="34"/>
  <c r="F9" i="33"/>
  <c r="H51" i="34"/>
  <c r="H51" i="33"/>
  <c r="H19" i="34"/>
  <c r="H19" i="33"/>
  <c r="I60" i="34"/>
  <c r="I60" i="33"/>
  <c r="I28" i="34"/>
  <c r="I28" i="33"/>
  <c r="J53" i="34"/>
  <c r="J53" i="33"/>
  <c r="J13" i="34"/>
  <c r="J13" i="33"/>
  <c r="K46" i="34"/>
  <c r="K46" i="33"/>
  <c r="K6" i="34"/>
  <c r="K6" i="33"/>
  <c r="L46" i="34"/>
  <c r="L46" i="33"/>
  <c r="L14" i="34"/>
  <c r="L14" i="33"/>
  <c r="M46" i="34"/>
  <c r="M46" i="33"/>
  <c r="M14" i="34"/>
  <c r="M14" i="33"/>
  <c r="N47" i="34"/>
  <c r="N47" i="33"/>
  <c r="N23" i="34"/>
  <c r="N23" i="33"/>
  <c r="Q54" i="34"/>
  <c r="Q54" i="33"/>
  <c r="Q22" i="34"/>
  <c r="Q22" i="33"/>
  <c r="E63" i="34"/>
  <c r="E63" i="33"/>
  <c r="E31" i="34"/>
  <c r="E31" i="33"/>
  <c r="F56" i="34"/>
  <c r="F56" i="33"/>
  <c r="F32" i="34"/>
  <c r="F32" i="33"/>
  <c r="G41" i="34"/>
  <c r="G41" i="33"/>
  <c r="G9" i="34"/>
  <c r="G9" i="33"/>
  <c r="H34" i="34"/>
  <c r="H34" i="33"/>
  <c r="H10" i="34"/>
  <c r="H10" i="33"/>
  <c r="I35" i="34"/>
  <c r="I35" i="33"/>
  <c r="J60" i="34"/>
  <c r="J60" i="33"/>
  <c r="J28" i="34"/>
  <c r="J28" i="33"/>
  <c r="J4" i="34"/>
  <c r="J4" i="33"/>
  <c r="K37" i="34"/>
  <c r="K37" i="33"/>
  <c r="K29" i="34"/>
  <c r="K29" i="33"/>
  <c r="L61" i="34"/>
  <c r="L61" i="33"/>
  <c r="L37" i="34"/>
  <c r="L37" i="33"/>
  <c r="M61" i="34"/>
  <c r="M61" i="33"/>
  <c r="M29" i="34"/>
  <c r="M29" i="33"/>
  <c r="N38" i="34"/>
  <c r="N38" i="33"/>
  <c r="H67" i="27"/>
  <c r="H67" i="29"/>
  <c r="D38" i="34"/>
  <c r="D38" i="33"/>
  <c r="D30" i="34"/>
  <c r="D30" i="33"/>
  <c r="D22" i="34"/>
  <c r="D22" i="33"/>
  <c r="D14" i="34"/>
  <c r="D14" i="33"/>
  <c r="D6" i="34"/>
  <c r="D6" i="33"/>
  <c r="E62" i="34"/>
  <c r="E62" i="33"/>
  <c r="E54" i="34"/>
  <c r="E54" i="33"/>
  <c r="E46" i="34"/>
  <c r="E46" i="33"/>
  <c r="E38" i="34"/>
  <c r="E38" i="33"/>
  <c r="E30" i="34"/>
  <c r="E30" i="33"/>
  <c r="E22" i="34"/>
  <c r="E22" i="33"/>
  <c r="E14" i="34"/>
  <c r="E14" i="33"/>
  <c r="E6" i="34"/>
  <c r="E6" i="33"/>
  <c r="F63" i="34"/>
  <c r="F63" i="33"/>
  <c r="F55" i="34"/>
  <c r="F55" i="33"/>
  <c r="F47" i="34"/>
  <c r="F47" i="33"/>
  <c r="F39" i="34"/>
  <c r="F39" i="33"/>
  <c r="F31" i="34"/>
  <c r="F31" i="33"/>
  <c r="F23" i="34"/>
  <c r="F23" i="33"/>
  <c r="F15" i="34"/>
  <c r="F15" i="33"/>
  <c r="F7" i="34"/>
  <c r="F7" i="33"/>
  <c r="G56" i="34"/>
  <c r="G56" i="33"/>
  <c r="G48" i="34"/>
  <c r="G48" i="33"/>
  <c r="G40" i="34"/>
  <c r="G40" i="33"/>
  <c r="G32" i="34"/>
  <c r="G32" i="33"/>
  <c r="G24" i="34"/>
  <c r="G24" i="33"/>
  <c r="G16" i="34"/>
  <c r="G16" i="33"/>
  <c r="G8" i="34"/>
  <c r="G8" i="33"/>
  <c r="H57" i="34"/>
  <c r="H57" i="33"/>
  <c r="H49" i="34"/>
  <c r="H49" i="33"/>
  <c r="H41" i="34"/>
  <c r="H41" i="33"/>
  <c r="H33" i="34"/>
  <c r="H33" i="33"/>
  <c r="H25" i="34"/>
  <c r="H25" i="33"/>
  <c r="H17" i="34"/>
  <c r="H17" i="33"/>
  <c r="H9" i="34"/>
  <c r="H9" i="33"/>
  <c r="I50" i="34"/>
  <c r="I50" i="33"/>
  <c r="I42" i="34"/>
  <c r="I42" i="33"/>
  <c r="I26" i="34"/>
  <c r="I26" i="33"/>
  <c r="I18" i="34"/>
  <c r="I18" i="33"/>
  <c r="I10" i="34"/>
  <c r="I10" i="33"/>
  <c r="J59" i="34"/>
  <c r="J59" i="33"/>
  <c r="J51" i="34"/>
  <c r="J51" i="33"/>
  <c r="J43" i="34"/>
  <c r="J43" i="33"/>
  <c r="J35" i="34"/>
  <c r="J35" i="33"/>
  <c r="J19" i="34"/>
  <c r="J19" i="33"/>
  <c r="J11" i="34"/>
  <c r="J11" i="33"/>
  <c r="J3" i="34"/>
  <c r="J3" i="33"/>
  <c r="K60" i="34"/>
  <c r="K60" i="33"/>
  <c r="K52" i="34"/>
  <c r="K52" i="33"/>
  <c r="K44" i="34"/>
  <c r="K44" i="33"/>
  <c r="K36" i="34"/>
  <c r="K36" i="33"/>
  <c r="K28" i="34"/>
  <c r="K28" i="33"/>
  <c r="K12" i="34"/>
  <c r="K12" i="33"/>
  <c r="K4" i="34"/>
  <c r="K4" i="33"/>
  <c r="L60" i="34"/>
  <c r="L60" i="33"/>
  <c r="L52" i="34"/>
  <c r="L52" i="33"/>
  <c r="L44" i="34"/>
  <c r="L44" i="33"/>
  <c r="L36" i="34"/>
  <c r="L36" i="33"/>
  <c r="L28" i="34"/>
  <c r="L28" i="33"/>
  <c r="L12" i="34"/>
  <c r="L12" i="33"/>
  <c r="L4" i="34"/>
  <c r="L4" i="33"/>
  <c r="M60" i="34"/>
  <c r="M60" i="33"/>
  <c r="M52" i="34"/>
  <c r="M52" i="33"/>
  <c r="M44" i="34"/>
  <c r="M44" i="33"/>
  <c r="M36" i="34"/>
  <c r="M36" i="33"/>
  <c r="M28" i="34"/>
  <c r="M28" i="33"/>
  <c r="M12" i="34"/>
  <c r="M12" i="33"/>
  <c r="M4" i="34"/>
  <c r="M4" i="33"/>
  <c r="N61" i="34"/>
  <c r="N61" i="33"/>
  <c r="N53" i="34"/>
  <c r="N53" i="33"/>
  <c r="N45" i="34"/>
  <c r="N45" i="33"/>
  <c r="N37" i="34"/>
  <c r="N37" i="33"/>
  <c r="N29" i="34"/>
  <c r="N29" i="33"/>
  <c r="P61" i="34"/>
  <c r="P61" i="33"/>
  <c r="P53" i="34"/>
  <c r="P53" i="33"/>
  <c r="P45" i="34"/>
  <c r="P45" i="33"/>
  <c r="P37" i="34"/>
  <c r="P37" i="33"/>
  <c r="P29" i="34"/>
  <c r="P29" i="33"/>
  <c r="P21" i="34"/>
  <c r="P21" i="33"/>
  <c r="P13" i="34"/>
  <c r="P13" i="33"/>
  <c r="P5" i="34"/>
  <c r="P5" i="33"/>
  <c r="T57" i="34"/>
  <c r="T57" i="33"/>
  <c r="T49" i="34"/>
  <c r="T49" i="33"/>
  <c r="T41" i="34"/>
  <c r="T41" i="33"/>
  <c r="T33" i="34"/>
  <c r="T33" i="33"/>
  <c r="T25" i="34"/>
  <c r="T25" i="33"/>
  <c r="T17" i="34"/>
  <c r="T17" i="33"/>
  <c r="T9" i="34"/>
  <c r="T9" i="33"/>
  <c r="C13" i="33"/>
  <c r="C14" i="33"/>
  <c r="C23" i="33"/>
  <c r="C24" i="33"/>
  <c r="N63" i="33"/>
  <c r="P28" i="33"/>
  <c r="I64" i="33"/>
  <c r="N24" i="33"/>
  <c r="I37" i="33"/>
  <c r="D17" i="33"/>
  <c r="E40" i="33"/>
  <c r="I66" i="27"/>
  <c r="I66" i="29"/>
  <c r="D41" i="34"/>
  <c r="D41" i="33"/>
  <c r="E41" i="34"/>
  <c r="E41" i="33"/>
  <c r="E9" i="34"/>
  <c r="E9" i="33"/>
  <c r="F50" i="34"/>
  <c r="F50" i="33"/>
  <c r="F18" i="34"/>
  <c r="F18" i="33"/>
  <c r="G27" i="34"/>
  <c r="G27" i="33"/>
  <c r="H44" i="34"/>
  <c r="H44" i="33"/>
  <c r="J54" i="34"/>
  <c r="J54" i="33"/>
  <c r="J14" i="34"/>
  <c r="J14" i="33"/>
  <c r="K47" i="34"/>
  <c r="K47" i="33"/>
  <c r="L63" i="34"/>
  <c r="L63" i="33"/>
  <c r="L39" i="34"/>
  <c r="L39" i="33"/>
  <c r="M63" i="34"/>
  <c r="M63" i="33"/>
  <c r="M23" i="34"/>
  <c r="M23" i="33"/>
  <c r="N40" i="34"/>
  <c r="N40" i="33"/>
  <c r="O24" i="34"/>
  <c r="O24" i="33"/>
  <c r="D64" i="34"/>
  <c r="D64" i="33"/>
  <c r="D16" i="34"/>
  <c r="D16" i="33"/>
  <c r="E48" i="34"/>
  <c r="E48" i="33"/>
  <c r="E8" i="34"/>
  <c r="E8" i="33"/>
  <c r="F41" i="34"/>
  <c r="F41" i="33"/>
  <c r="G66" i="34"/>
  <c r="G66" i="33"/>
  <c r="G34" i="34"/>
  <c r="G34" i="33"/>
  <c r="H59" i="34"/>
  <c r="H59" i="33"/>
  <c r="H3" i="34"/>
  <c r="H3" i="33"/>
  <c r="J37" i="34"/>
  <c r="J37" i="33"/>
  <c r="K62" i="34"/>
  <c r="K62" i="33"/>
  <c r="K22" i="34"/>
  <c r="K22" i="33"/>
  <c r="L30" i="34"/>
  <c r="L30" i="33"/>
  <c r="M54" i="34"/>
  <c r="M54" i="33"/>
  <c r="N31" i="34"/>
  <c r="N31" i="33"/>
  <c r="Q38" i="34"/>
  <c r="Q38" i="33"/>
  <c r="G66" i="27"/>
  <c r="G66" i="29"/>
  <c r="O2" i="34"/>
  <c r="O2" i="33"/>
  <c r="D47" i="34"/>
  <c r="D47" i="33"/>
  <c r="D7" i="34"/>
  <c r="D7" i="33"/>
  <c r="E39" i="34"/>
  <c r="E39" i="33"/>
  <c r="F64" i="34"/>
  <c r="F64" i="33"/>
  <c r="F24" i="34"/>
  <c r="F24" i="33"/>
  <c r="G49" i="34"/>
  <c r="G49" i="33"/>
  <c r="H26" i="34"/>
  <c r="H26" i="33"/>
  <c r="I43" i="34"/>
  <c r="I43" i="33"/>
  <c r="I3" i="34"/>
  <c r="I3" i="33"/>
  <c r="J12" i="34"/>
  <c r="J12" i="33"/>
  <c r="L53" i="34"/>
  <c r="L53" i="33"/>
  <c r="L21" i="34"/>
  <c r="L21" i="33"/>
  <c r="M53" i="34"/>
  <c r="M53" i="33"/>
  <c r="M21" i="34"/>
  <c r="M21" i="33"/>
  <c r="N54" i="34"/>
  <c r="N54" i="33"/>
  <c r="F66" i="29"/>
  <c r="F66" i="27"/>
  <c r="N2" i="34"/>
  <c r="N2" i="33"/>
  <c r="M66" i="29"/>
  <c r="M66" i="27"/>
  <c r="D45" i="34"/>
  <c r="D45" i="33"/>
  <c r="D37" i="34"/>
  <c r="D37" i="33"/>
  <c r="D29" i="34"/>
  <c r="D29" i="33"/>
  <c r="D21" i="34"/>
  <c r="D21" i="33"/>
  <c r="D13" i="34"/>
  <c r="D13" i="33"/>
  <c r="D5" i="34"/>
  <c r="D5" i="33"/>
  <c r="E61" i="34"/>
  <c r="E61" i="33"/>
  <c r="E53" i="34"/>
  <c r="E53" i="33"/>
  <c r="E45" i="34"/>
  <c r="E45" i="33"/>
  <c r="E37" i="34"/>
  <c r="E37" i="33"/>
  <c r="E29" i="34"/>
  <c r="E29" i="33"/>
  <c r="E21" i="34"/>
  <c r="E21" i="33"/>
  <c r="E13" i="34"/>
  <c r="E13" i="33"/>
  <c r="E5" i="34"/>
  <c r="E5" i="33"/>
  <c r="F62" i="34"/>
  <c r="F62" i="33"/>
  <c r="F54" i="34"/>
  <c r="F54" i="33"/>
  <c r="F46" i="34"/>
  <c r="F46" i="33"/>
  <c r="F38" i="34"/>
  <c r="F38" i="33"/>
  <c r="F30" i="34"/>
  <c r="F30" i="33"/>
  <c r="F14" i="34"/>
  <c r="F14" i="33"/>
  <c r="F6" i="34"/>
  <c r="F6" i="33"/>
  <c r="G63" i="34"/>
  <c r="G63" i="33"/>
  <c r="G55" i="34"/>
  <c r="G55" i="33"/>
  <c r="G47" i="34"/>
  <c r="G47" i="33"/>
  <c r="G39" i="34"/>
  <c r="G39" i="33"/>
  <c r="G31" i="34"/>
  <c r="G31" i="33"/>
  <c r="G23" i="34"/>
  <c r="G23" i="33"/>
  <c r="G15" i="34"/>
  <c r="G15" i="33"/>
  <c r="G7" i="34"/>
  <c r="G7" i="33"/>
  <c r="H64" i="34"/>
  <c r="H64" i="33"/>
  <c r="H56" i="34"/>
  <c r="H56" i="33"/>
  <c r="H48" i="34"/>
  <c r="H48" i="33"/>
  <c r="H40" i="34"/>
  <c r="H40" i="33"/>
  <c r="H32" i="34"/>
  <c r="H32" i="33"/>
  <c r="H24" i="34"/>
  <c r="H24" i="33"/>
  <c r="H16" i="34"/>
  <c r="H16" i="33"/>
  <c r="I57" i="34"/>
  <c r="I57" i="33"/>
  <c r="I49" i="34"/>
  <c r="I49" i="33"/>
  <c r="I41" i="34"/>
  <c r="I41" i="33"/>
  <c r="I33" i="34"/>
  <c r="I33" i="33"/>
  <c r="I25" i="34"/>
  <c r="I25" i="33"/>
  <c r="I17" i="34"/>
  <c r="I17" i="33"/>
  <c r="I9" i="34"/>
  <c r="I9" i="33"/>
  <c r="J66" i="34"/>
  <c r="J66" i="33"/>
  <c r="J58" i="34"/>
  <c r="J58" i="33"/>
  <c r="J50" i="34"/>
  <c r="J50" i="33"/>
  <c r="J42" i="34"/>
  <c r="J42" i="33"/>
  <c r="J34" i="34"/>
  <c r="J34" i="33"/>
  <c r="J26" i="34"/>
  <c r="J26" i="33"/>
  <c r="J18" i="34"/>
  <c r="J18" i="33"/>
  <c r="J10" i="34"/>
  <c r="J10" i="33"/>
  <c r="K67" i="10"/>
  <c r="K4" i="13" s="1"/>
  <c r="K59" i="34"/>
  <c r="K59" i="33"/>
  <c r="K51" i="34"/>
  <c r="K51" i="33"/>
  <c r="K43" i="34"/>
  <c r="K43" i="33"/>
  <c r="K35" i="34"/>
  <c r="K35" i="33"/>
  <c r="K27" i="34"/>
  <c r="K27" i="33"/>
  <c r="K19" i="34"/>
  <c r="K19" i="33"/>
  <c r="K11" i="34"/>
  <c r="K11" i="33"/>
  <c r="K3" i="34"/>
  <c r="K3" i="33"/>
  <c r="L59" i="34"/>
  <c r="L59" i="33"/>
  <c r="L51" i="34"/>
  <c r="L51" i="33"/>
  <c r="L43" i="34"/>
  <c r="L43" i="33"/>
  <c r="L35" i="34"/>
  <c r="L35" i="33"/>
  <c r="L19" i="34"/>
  <c r="L19" i="33"/>
  <c r="L11" i="34"/>
  <c r="L11" i="33"/>
  <c r="L3" i="34"/>
  <c r="L3" i="33"/>
  <c r="O60" i="34"/>
  <c r="O60" i="33"/>
  <c r="O52" i="34"/>
  <c r="O52" i="33"/>
  <c r="O44" i="34"/>
  <c r="O44" i="33"/>
  <c r="O36" i="34"/>
  <c r="O36" i="33"/>
  <c r="O20" i="34"/>
  <c r="O20" i="33"/>
  <c r="O12" i="34"/>
  <c r="O12" i="33"/>
  <c r="O4" i="34"/>
  <c r="O4" i="33"/>
  <c r="P60" i="34"/>
  <c r="P60" i="33"/>
  <c r="P52" i="34"/>
  <c r="P52" i="33"/>
  <c r="P44" i="34"/>
  <c r="P44" i="33"/>
  <c r="P36" i="34"/>
  <c r="P36" i="33"/>
  <c r="P20" i="34"/>
  <c r="P20" i="33"/>
  <c r="L13" i="33"/>
  <c r="O43" i="33"/>
  <c r="G6" i="33"/>
  <c r="K13" i="33"/>
  <c r="G51" i="33"/>
  <c r="D46" i="33"/>
  <c r="D23" i="33"/>
  <c r="S67" i="27"/>
  <c r="S67" i="29"/>
  <c r="S67" i="10"/>
  <c r="S4" i="13" s="1"/>
  <c r="D9" i="34"/>
  <c r="D9" i="33"/>
  <c r="E33" i="34"/>
  <c r="E33" i="33"/>
  <c r="F42" i="34"/>
  <c r="F42" i="33"/>
  <c r="G59" i="34"/>
  <c r="G59" i="33"/>
  <c r="G19" i="34"/>
  <c r="G19" i="33"/>
  <c r="H28" i="34"/>
  <c r="H28" i="33"/>
  <c r="I61" i="34"/>
  <c r="I61" i="33"/>
  <c r="I13" i="34"/>
  <c r="I13" i="33"/>
  <c r="J30" i="34"/>
  <c r="J30" i="33"/>
  <c r="K55" i="34"/>
  <c r="K55" i="33"/>
  <c r="K15" i="34"/>
  <c r="K15" i="33"/>
  <c r="L31" i="34"/>
  <c r="L31" i="33"/>
  <c r="M55" i="34"/>
  <c r="M55" i="33"/>
  <c r="M7" i="34"/>
  <c r="M7" i="33"/>
  <c r="N8" i="34"/>
  <c r="N8" i="33"/>
  <c r="O8" i="34"/>
  <c r="O8" i="33"/>
  <c r="H66" i="27"/>
  <c r="H66" i="29"/>
  <c r="F25" i="34"/>
  <c r="F25" i="33"/>
  <c r="G50" i="34"/>
  <c r="G50" i="33"/>
  <c r="G10" i="34"/>
  <c r="G10" i="33"/>
  <c r="H27" i="34"/>
  <c r="H27" i="33"/>
  <c r="I36" i="34"/>
  <c r="I36" i="33"/>
  <c r="J61" i="34"/>
  <c r="J61" i="33"/>
  <c r="J21" i="34"/>
  <c r="J21" i="33"/>
  <c r="K30" i="34"/>
  <c r="K30" i="33"/>
  <c r="L62" i="34"/>
  <c r="L62" i="33"/>
  <c r="L22" i="34"/>
  <c r="L22" i="33"/>
  <c r="M30" i="34"/>
  <c r="M30" i="33"/>
  <c r="N55" i="34"/>
  <c r="N55" i="33"/>
  <c r="Q67" i="27"/>
  <c r="Q67" i="29"/>
  <c r="Q67" i="10"/>
  <c r="Q4" i="13" s="1"/>
  <c r="G2" i="34"/>
  <c r="G2" i="33"/>
  <c r="D39" i="34"/>
  <c r="D39" i="33"/>
  <c r="E47" i="34"/>
  <c r="E47" i="33"/>
  <c r="E7" i="34"/>
  <c r="E7" i="33"/>
  <c r="F16" i="34"/>
  <c r="F16" i="33"/>
  <c r="G25" i="34"/>
  <c r="G25" i="33"/>
  <c r="H50" i="34"/>
  <c r="H50" i="33"/>
  <c r="I59" i="34"/>
  <c r="I59" i="33"/>
  <c r="I19" i="34"/>
  <c r="I19" i="33"/>
  <c r="J36" i="34"/>
  <c r="J36" i="33"/>
  <c r="K61" i="34"/>
  <c r="K61" i="33"/>
  <c r="K5" i="34"/>
  <c r="K5" i="33"/>
  <c r="L29" i="34"/>
  <c r="L29" i="33"/>
  <c r="M37" i="34"/>
  <c r="M37" i="33"/>
  <c r="N62" i="34"/>
  <c r="N62" i="33"/>
  <c r="O56" i="33"/>
  <c r="N66" i="27"/>
  <c r="N66" i="29"/>
  <c r="D62" i="34"/>
  <c r="D62" i="33"/>
  <c r="O67" i="27"/>
  <c r="O67" i="29"/>
  <c r="F67" i="29"/>
  <c r="F67" i="27"/>
  <c r="T2" i="34"/>
  <c r="T2" i="33"/>
  <c r="C60" i="34"/>
  <c r="C60" i="33"/>
  <c r="C28" i="34"/>
  <c r="C28" i="33"/>
  <c r="C4" i="34"/>
  <c r="C4" i="33"/>
  <c r="D36" i="34"/>
  <c r="D36" i="33"/>
  <c r="D12" i="34"/>
  <c r="D12" i="33"/>
  <c r="E60" i="34"/>
  <c r="E60" i="33"/>
  <c r="E36" i="34"/>
  <c r="E36" i="33"/>
  <c r="E12" i="34"/>
  <c r="E12" i="33"/>
  <c r="F45" i="34"/>
  <c r="F45" i="33"/>
  <c r="F29" i="34"/>
  <c r="F29" i="33"/>
  <c r="G62" i="34"/>
  <c r="G62" i="33"/>
  <c r="H47" i="34"/>
  <c r="H47" i="33"/>
  <c r="H23" i="34"/>
  <c r="H23" i="33"/>
  <c r="I56" i="34"/>
  <c r="I56" i="33"/>
  <c r="I48" i="34"/>
  <c r="I48" i="33"/>
  <c r="I32" i="34"/>
  <c r="I32" i="33"/>
  <c r="I24" i="34"/>
  <c r="I24" i="33"/>
  <c r="I16" i="34"/>
  <c r="I16" i="33"/>
  <c r="I8" i="34"/>
  <c r="I8" i="33"/>
  <c r="J57" i="34"/>
  <c r="J57" i="33"/>
  <c r="J49" i="34"/>
  <c r="J49" i="33"/>
  <c r="J33" i="34"/>
  <c r="J33" i="33"/>
  <c r="J25" i="34"/>
  <c r="J25" i="33"/>
  <c r="J17" i="34"/>
  <c r="J17" i="33"/>
  <c r="J9" i="34"/>
  <c r="J9" i="33"/>
  <c r="K58" i="34"/>
  <c r="K58" i="33"/>
  <c r="K50" i="34"/>
  <c r="K50" i="33"/>
  <c r="K42" i="34"/>
  <c r="K42" i="33"/>
  <c r="K26" i="34"/>
  <c r="K26" i="33"/>
  <c r="K18" i="34"/>
  <c r="K18" i="33"/>
  <c r="K10" i="34"/>
  <c r="K10" i="33"/>
  <c r="L67" i="34"/>
  <c r="L67" i="33"/>
  <c r="M66" i="10"/>
  <c r="M3" i="13" s="1"/>
  <c r="M58" i="34"/>
  <c r="M58" i="33"/>
  <c r="M50" i="34"/>
  <c r="M50" i="33"/>
  <c r="M42" i="34"/>
  <c r="M42" i="33"/>
  <c r="M34" i="34"/>
  <c r="M34" i="33"/>
  <c r="M26" i="34"/>
  <c r="M26" i="33"/>
  <c r="M18" i="34"/>
  <c r="M18" i="33"/>
  <c r="M10" i="34"/>
  <c r="M10" i="33"/>
  <c r="N59" i="34"/>
  <c r="N59" i="33"/>
  <c r="N51" i="34"/>
  <c r="N51" i="33"/>
  <c r="N43" i="34"/>
  <c r="N43" i="33"/>
  <c r="N35" i="34"/>
  <c r="N35" i="33"/>
  <c r="N27" i="34"/>
  <c r="N27" i="33"/>
  <c r="N19" i="34"/>
  <c r="N19" i="33"/>
  <c r="N11" i="34"/>
  <c r="N11" i="33"/>
  <c r="N3" i="34"/>
  <c r="N3" i="33"/>
  <c r="O59" i="34"/>
  <c r="O59" i="33"/>
  <c r="O51" i="34"/>
  <c r="O51" i="33"/>
  <c r="O35" i="34"/>
  <c r="O35" i="33"/>
  <c r="O27" i="34"/>
  <c r="O27" i="33"/>
  <c r="O19" i="34"/>
  <c r="O19" i="33"/>
  <c r="O11" i="34"/>
  <c r="O11" i="33"/>
  <c r="O3" i="34"/>
  <c r="O3" i="33"/>
  <c r="S64" i="34"/>
  <c r="S64" i="33"/>
  <c r="S56" i="34"/>
  <c r="S56" i="33"/>
  <c r="S48" i="34"/>
  <c r="S48" i="33"/>
  <c r="S40" i="34"/>
  <c r="S40" i="33"/>
  <c r="S32" i="34"/>
  <c r="S32" i="33"/>
  <c r="S24" i="34"/>
  <c r="S24" i="33"/>
  <c r="S16" i="34"/>
  <c r="S16" i="33"/>
  <c r="K20" i="33"/>
  <c r="S8" i="33"/>
  <c r="F13" i="33"/>
  <c r="D48" i="33"/>
  <c r="H8" i="33"/>
  <c r="I2" i="34"/>
  <c r="I2" i="33"/>
  <c r="F66" i="34"/>
  <c r="F66" i="33"/>
  <c r="G11" i="34"/>
  <c r="G11" i="33"/>
  <c r="H20" i="34"/>
  <c r="H20" i="33"/>
  <c r="I53" i="34"/>
  <c r="I53" i="33"/>
  <c r="I21" i="34"/>
  <c r="I21" i="33"/>
  <c r="J22" i="34"/>
  <c r="J22" i="33"/>
  <c r="K39" i="34"/>
  <c r="K39" i="33"/>
  <c r="L55" i="34"/>
  <c r="L55" i="33"/>
  <c r="L15" i="34"/>
  <c r="L15" i="33"/>
  <c r="M31" i="34"/>
  <c r="M31" i="33"/>
  <c r="N56" i="34"/>
  <c r="N56" i="33"/>
  <c r="N32" i="34"/>
  <c r="N32" i="33"/>
  <c r="O32" i="34"/>
  <c r="O32" i="33"/>
  <c r="P66" i="27"/>
  <c r="P66" i="29"/>
  <c r="H2" i="34"/>
  <c r="H2" i="33"/>
  <c r="D40" i="34"/>
  <c r="D40" i="33"/>
  <c r="D8" i="34"/>
  <c r="D8" i="33"/>
  <c r="E16" i="34"/>
  <c r="E16" i="33"/>
  <c r="F33" i="34"/>
  <c r="F33" i="33"/>
  <c r="G58" i="34"/>
  <c r="G58" i="33"/>
  <c r="G18" i="34"/>
  <c r="G18" i="33"/>
  <c r="H35" i="34"/>
  <c r="H35" i="33"/>
  <c r="I44" i="34"/>
  <c r="I44" i="33"/>
  <c r="I4" i="34"/>
  <c r="I4" i="33"/>
  <c r="J29" i="34"/>
  <c r="J29" i="33"/>
  <c r="K38" i="34"/>
  <c r="K38" i="33"/>
  <c r="L54" i="34"/>
  <c r="L54" i="33"/>
  <c r="M62" i="34"/>
  <c r="M62" i="33"/>
  <c r="M22" i="34"/>
  <c r="M22" i="33"/>
  <c r="N15" i="34"/>
  <c r="N15" i="33"/>
  <c r="Q62" i="34"/>
  <c r="Q62" i="33"/>
  <c r="Q30" i="34"/>
  <c r="Q30" i="33"/>
  <c r="G26" i="33"/>
  <c r="O66" i="27"/>
  <c r="O66" i="29"/>
  <c r="O66" i="10"/>
  <c r="O3" i="13" s="1"/>
  <c r="D63" i="34"/>
  <c r="D63" i="33"/>
  <c r="D15" i="34"/>
  <c r="D15" i="33"/>
  <c r="E15" i="34"/>
  <c r="E15" i="33"/>
  <c r="F40" i="34"/>
  <c r="F40" i="33"/>
  <c r="G33" i="34"/>
  <c r="G33" i="33"/>
  <c r="H58" i="34"/>
  <c r="H58" i="33"/>
  <c r="I27" i="34"/>
  <c r="I27" i="33"/>
  <c r="J44" i="34"/>
  <c r="J44" i="33"/>
  <c r="K45" i="34"/>
  <c r="K45" i="33"/>
  <c r="D54" i="34"/>
  <c r="D54" i="33"/>
  <c r="E66" i="27"/>
  <c r="E66" i="29"/>
  <c r="M2" i="34"/>
  <c r="M2" i="33"/>
  <c r="E2" i="34"/>
  <c r="E2" i="33"/>
  <c r="L66" i="29"/>
  <c r="L66" i="27"/>
  <c r="L66" i="10"/>
  <c r="L3" i="13" s="1"/>
  <c r="N67" i="27"/>
  <c r="N67" i="29"/>
  <c r="D2" i="34"/>
  <c r="D2" i="33"/>
  <c r="C36" i="34"/>
  <c r="C36" i="33"/>
  <c r="C12" i="34"/>
  <c r="C12" i="33"/>
  <c r="D44" i="34"/>
  <c r="D44" i="33"/>
  <c r="D20" i="34"/>
  <c r="D20" i="33"/>
  <c r="E52" i="34"/>
  <c r="E52" i="33"/>
  <c r="E28" i="34"/>
  <c r="E28" i="33"/>
  <c r="F61" i="34"/>
  <c r="F61" i="33"/>
  <c r="G46" i="34"/>
  <c r="G46" i="33"/>
  <c r="G22" i="34"/>
  <c r="G22" i="33"/>
  <c r="H7" i="34"/>
  <c r="H7" i="33"/>
  <c r="C67" i="27"/>
  <c r="C67" i="29"/>
  <c r="K2" i="34"/>
  <c r="K2" i="33"/>
  <c r="C51" i="34"/>
  <c r="C51" i="33"/>
  <c r="C19" i="34"/>
  <c r="C19" i="33"/>
  <c r="L57" i="34"/>
  <c r="L57" i="33"/>
  <c r="L49" i="34"/>
  <c r="L49" i="33"/>
  <c r="L33" i="34"/>
  <c r="L33" i="33"/>
  <c r="L25" i="34"/>
  <c r="L25" i="33"/>
  <c r="L9" i="34"/>
  <c r="L9" i="33"/>
  <c r="M57" i="34"/>
  <c r="M57" i="33"/>
  <c r="M49" i="34"/>
  <c r="M49" i="33"/>
  <c r="M41" i="34"/>
  <c r="M41" i="33"/>
  <c r="M33" i="34"/>
  <c r="M33" i="33"/>
  <c r="M25" i="34"/>
  <c r="M25" i="33"/>
  <c r="M17" i="34"/>
  <c r="M17" i="33"/>
  <c r="M9" i="34"/>
  <c r="M9" i="33"/>
  <c r="N66" i="10"/>
  <c r="N3" i="13" s="1"/>
  <c r="N58" i="34"/>
  <c r="N58" i="33"/>
  <c r="N50" i="34"/>
  <c r="N50" i="33"/>
  <c r="N42" i="34"/>
  <c r="N42" i="33"/>
  <c r="N34" i="34"/>
  <c r="N34" i="33"/>
  <c r="N26" i="34"/>
  <c r="N26" i="33"/>
  <c r="N18" i="34"/>
  <c r="N18" i="33"/>
  <c r="N10" i="34"/>
  <c r="N10" i="33"/>
  <c r="O67" i="10"/>
  <c r="O4" i="13" s="1"/>
  <c r="P66" i="10"/>
  <c r="P3" i="13" s="1"/>
  <c r="P58" i="34"/>
  <c r="P58" i="33"/>
  <c r="P50" i="34"/>
  <c r="P50" i="33"/>
  <c r="P42" i="34"/>
  <c r="P42" i="33"/>
  <c r="P34" i="34"/>
  <c r="P34" i="33"/>
  <c r="J27" i="33"/>
  <c r="E20" i="33"/>
  <c r="M5" i="33"/>
  <c r="Q14" i="33"/>
  <c r="F22" i="33"/>
  <c r="Q66" i="27"/>
  <c r="Q66" i="29"/>
  <c r="Q66" i="10"/>
  <c r="Q3" i="13" s="1"/>
  <c r="Q2" i="34"/>
  <c r="Q2" i="33"/>
  <c r="D49" i="34"/>
  <c r="D49" i="33"/>
  <c r="D25" i="34"/>
  <c r="D25" i="33"/>
  <c r="E49" i="34"/>
  <c r="E49" i="33"/>
  <c r="E17" i="34"/>
  <c r="E17" i="33"/>
  <c r="F34" i="34"/>
  <c r="F34" i="33"/>
  <c r="G67" i="34"/>
  <c r="G67" i="33"/>
  <c r="G35" i="34"/>
  <c r="G35" i="33"/>
  <c r="H60" i="34"/>
  <c r="H60" i="33"/>
  <c r="H36" i="34"/>
  <c r="H36" i="33"/>
  <c r="H4" i="34"/>
  <c r="H4" i="33"/>
  <c r="I29" i="34"/>
  <c r="I29" i="33"/>
  <c r="J62" i="34"/>
  <c r="J62" i="33"/>
  <c r="J46" i="34"/>
  <c r="J46" i="33"/>
  <c r="J6" i="34"/>
  <c r="J6" i="33"/>
  <c r="K31" i="34"/>
  <c r="K31" i="33"/>
  <c r="K7" i="34"/>
  <c r="K7" i="33"/>
  <c r="L47" i="34"/>
  <c r="L47" i="33"/>
  <c r="L7" i="34"/>
  <c r="L7" i="33"/>
  <c r="M47" i="34"/>
  <c r="M47" i="33"/>
  <c r="M15" i="34"/>
  <c r="M15" i="33"/>
  <c r="N48" i="34"/>
  <c r="N48" i="33"/>
  <c r="N16" i="34"/>
  <c r="N16" i="33"/>
  <c r="O48" i="34"/>
  <c r="O48" i="33"/>
  <c r="O16" i="34"/>
  <c r="O16" i="33"/>
  <c r="J67" i="27"/>
  <c r="J67" i="29"/>
  <c r="P2" i="34"/>
  <c r="P2" i="33"/>
  <c r="D32" i="34"/>
  <c r="D32" i="33"/>
  <c r="E64" i="34"/>
  <c r="E64" i="33"/>
  <c r="E24" i="34"/>
  <c r="E24" i="33"/>
  <c r="F49" i="34"/>
  <c r="F49" i="33"/>
  <c r="F17" i="34"/>
  <c r="F17" i="33"/>
  <c r="G42" i="34"/>
  <c r="G42" i="33"/>
  <c r="H67" i="34"/>
  <c r="H67" i="33"/>
  <c r="H43" i="34"/>
  <c r="H43" i="33"/>
  <c r="H11" i="34"/>
  <c r="H11" i="33"/>
  <c r="I52" i="34"/>
  <c r="I52" i="33"/>
  <c r="I20" i="34"/>
  <c r="I20" i="33"/>
  <c r="J45" i="34"/>
  <c r="J45" i="33"/>
  <c r="J5" i="34"/>
  <c r="J5" i="33"/>
  <c r="K54" i="34"/>
  <c r="K54" i="33"/>
  <c r="K14" i="34"/>
  <c r="K14" i="33"/>
  <c r="L38" i="34"/>
  <c r="L38" i="33"/>
  <c r="L6" i="34"/>
  <c r="L6" i="33"/>
  <c r="M38" i="34"/>
  <c r="M38" i="33"/>
  <c r="M6" i="34"/>
  <c r="M6" i="33"/>
  <c r="N39" i="34"/>
  <c r="N39" i="33"/>
  <c r="N7" i="34"/>
  <c r="N7" i="33"/>
  <c r="Q46" i="34"/>
  <c r="Q46" i="33"/>
  <c r="Q6" i="34"/>
  <c r="Q6" i="33"/>
  <c r="I67" i="27"/>
  <c r="I67" i="29"/>
  <c r="D55" i="34"/>
  <c r="D55" i="33"/>
  <c r="D31" i="34"/>
  <c r="D31" i="33"/>
  <c r="E55" i="34"/>
  <c r="E55" i="33"/>
  <c r="E23" i="34"/>
  <c r="E23" i="33"/>
  <c r="F48" i="34"/>
  <c r="F48" i="33"/>
  <c r="F8" i="34"/>
  <c r="F8" i="33"/>
  <c r="G57" i="34"/>
  <c r="G57" i="33"/>
  <c r="G17" i="34"/>
  <c r="G17" i="33"/>
  <c r="H42" i="34"/>
  <c r="H42" i="33"/>
  <c r="H18" i="34"/>
  <c r="H18" i="33"/>
  <c r="I51" i="34"/>
  <c r="I51" i="33"/>
  <c r="I11" i="34"/>
  <c r="I11" i="33"/>
  <c r="J52" i="34"/>
  <c r="J52" i="33"/>
  <c r="J20" i="34"/>
  <c r="J20" i="33"/>
  <c r="K53" i="34"/>
  <c r="K53" i="33"/>
  <c r="K21" i="34"/>
  <c r="K21" i="33"/>
  <c r="L45" i="34"/>
  <c r="L45" i="33"/>
  <c r="L5" i="34"/>
  <c r="L5" i="33"/>
  <c r="M45" i="34"/>
  <c r="M45" i="33"/>
  <c r="M13" i="34"/>
  <c r="M13" i="33"/>
  <c r="N46" i="34"/>
  <c r="N46" i="33"/>
  <c r="P67" i="27"/>
  <c r="P67" i="29"/>
  <c r="P67" i="10"/>
  <c r="P4" i="13" s="1"/>
  <c r="F2" i="34"/>
  <c r="F2" i="33"/>
  <c r="C66" i="27"/>
  <c r="C66" i="29"/>
  <c r="G67" i="27"/>
  <c r="G67" i="29"/>
  <c r="C2" i="34"/>
  <c r="C2" i="33"/>
  <c r="D61" i="34"/>
  <c r="D61" i="33"/>
  <c r="T66" i="29"/>
  <c r="T66" i="27"/>
  <c r="T66" i="10"/>
  <c r="T3" i="13" s="1"/>
  <c r="D66" i="29"/>
  <c r="D66" i="27"/>
  <c r="D66" i="10"/>
  <c r="D3" i="13" s="1"/>
  <c r="C52" i="34"/>
  <c r="C52" i="33"/>
  <c r="C44" i="34"/>
  <c r="C44" i="33"/>
  <c r="C20" i="34"/>
  <c r="C20" i="33"/>
  <c r="D60" i="34"/>
  <c r="D60" i="33"/>
  <c r="D52" i="34"/>
  <c r="D52" i="33"/>
  <c r="D28" i="34"/>
  <c r="D28" i="33"/>
  <c r="D4" i="34"/>
  <c r="D4" i="33"/>
  <c r="E44" i="34"/>
  <c r="E44" i="33"/>
  <c r="E4" i="34"/>
  <c r="E4" i="33"/>
  <c r="F53" i="34"/>
  <c r="F53" i="33"/>
  <c r="F37" i="34"/>
  <c r="F37" i="33"/>
  <c r="F21" i="34"/>
  <c r="F21" i="33"/>
  <c r="F5" i="34"/>
  <c r="F5" i="33"/>
  <c r="G54" i="34"/>
  <c r="G54" i="33"/>
  <c r="G38" i="34"/>
  <c r="G38" i="33"/>
  <c r="G30" i="34"/>
  <c r="G30" i="33"/>
  <c r="G14" i="34"/>
  <c r="G14" i="33"/>
  <c r="H63" i="34"/>
  <c r="H63" i="33"/>
  <c r="H55" i="34"/>
  <c r="H55" i="33"/>
  <c r="H39" i="34"/>
  <c r="H39" i="33"/>
  <c r="H31" i="34"/>
  <c r="H31" i="33"/>
  <c r="H15" i="34"/>
  <c r="H15" i="33"/>
  <c r="I40" i="34"/>
  <c r="I40" i="33"/>
  <c r="S66" i="29"/>
  <c r="S66" i="27"/>
  <c r="S66" i="10"/>
  <c r="S3" i="13" s="1"/>
  <c r="K66" i="29"/>
  <c r="K66" i="27"/>
  <c r="M67" i="29"/>
  <c r="M67" i="27"/>
  <c r="M67" i="10"/>
  <c r="M4" i="13" s="1"/>
  <c r="E67" i="29"/>
  <c r="E67" i="27"/>
  <c r="E67" i="10"/>
  <c r="E4" i="13" s="1"/>
  <c r="S2" i="34"/>
  <c r="S2" i="33"/>
  <c r="C67" i="10"/>
  <c r="C4" i="13" s="1"/>
  <c r="C59" i="34"/>
  <c r="C59" i="33"/>
  <c r="C43" i="34"/>
  <c r="C43" i="33"/>
  <c r="C35" i="34"/>
  <c r="C35" i="33"/>
  <c r="C27" i="34"/>
  <c r="C27" i="33"/>
  <c r="C11" i="34"/>
  <c r="C11" i="33"/>
  <c r="C3" i="34"/>
  <c r="C3" i="33"/>
  <c r="D59" i="34"/>
  <c r="D59" i="33"/>
  <c r="D51" i="34"/>
  <c r="D51" i="33"/>
  <c r="D43" i="34"/>
  <c r="D43" i="33"/>
  <c r="D35" i="34"/>
  <c r="D35" i="33"/>
  <c r="D19" i="34"/>
  <c r="D19" i="33"/>
  <c r="D11" i="34"/>
  <c r="D11" i="33"/>
  <c r="D3" i="34"/>
  <c r="D3" i="33"/>
  <c r="L41" i="34"/>
  <c r="L41" i="33"/>
  <c r="R66" i="27"/>
  <c r="R66" i="29"/>
  <c r="R66" i="10"/>
  <c r="R3" i="13" s="1"/>
  <c r="J66" i="27"/>
  <c r="J66" i="29"/>
  <c r="T67" i="29"/>
  <c r="T67" i="27"/>
  <c r="T67" i="10"/>
  <c r="T4" i="13" s="1"/>
  <c r="L67" i="29"/>
  <c r="L67" i="27"/>
  <c r="D67" i="29"/>
  <c r="D67" i="27"/>
  <c r="R2" i="34"/>
  <c r="R2" i="33"/>
  <c r="J2" i="34"/>
  <c r="J2" i="33"/>
  <c r="C66" i="10"/>
  <c r="C3" i="13" s="1"/>
  <c r="C58" i="34"/>
  <c r="C58" i="33"/>
  <c r="C50" i="34"/>
  <c r="C50" i="33"/>
  <c r="C42" i="34"/>
  <c r="C42" i="33"/>
  <c r="C34" i="34"/>
  <c r="C34" i="33"/>
  <c r="C26" i="34"/>
  <c r="C26" i="33"/>
  <c r="C18" i="34"/>
  <c r="C18" i="33"/>
  <c r="C10" i="34"/>
  <c r="C10" i="33"/>
  <c r="D67" i="10"/>
  <c r="D4" i="13" s="1"/>
  <c r="E66" i="10"/>
  <c r="E3" i="13" s="1"/>
  <c r="E58" i="34"/>
  <c r="E58" i="33"/>
  <c r="E50" i="34"/>
  <c r="E50" i="33"/>
  <c r="E42" i="34"/>
  <c r="E42" i="33"/>
  <c r="E34" i="34"/>
  <c r="E34" i="33"/>
  <c r="E26" i="34"/>
  <c r="E26" i="33"/>
  <c r="E18" i="34"/>
  <c r="E18" i="33"/>
  <c r="E10" i="34"/>
  <c r="E10" i="33"/>
  <c r="F67" i="10"/>
  <c r="F4" i="13" s="1"/>
  <c r="F59" i="34"/>
  <c r="F59" i="33"/>
  <c r="F51" i="34"/>
  <c r="F51" i="33"/>
  <c r="F43" i="34"/>
  <c r="F43" i="33"/>
  <c r="F35" i="34"/>
  <c r="F35" i="33"/>
  <c r="F27" i="34"/>
  <c r="F27" i="33"/>
  <c r="F19" i="34"/>
  <c r="F19" i="33"/>
  <c r="F11" i="34"/>
  <c r="F11" i="33"/>
  <c r="F3" i="34"/>
  <c r="F3" i="33"/>
  <c r="G60" i="34"/>
  <c r="G60" i="33"/>
  <c r="G52" i="34"/>
  <c r="G52" i="33"/>
  <c r="G44" i="34"/>
  <c r="G44" i="33"/>
  <c r="G36" i="34"/>
  <c r="G36" i="33"/>
  <c r="G20" i="34"/>
  <c r="G20" i="33"/>
  <c r="G12" i="34"/>
  <c r="G12" i="33"/>
  <c r="G4" i="34"/>
  <c r="G4" i="33"/>
  <c r="H61" i="34"/>
  <c r="H61" i="33"/>
  <c r="H53" i="34"/>
  <c r="H53" i="33"/>
  <c r="H45" i="34"/>
  <c r="H45" i="33"/>
  <c r="H37" i="34"/>
  <c r="H37" i="33"/>
  <c r="H29" i="34"/>
  <c r="H29" i="33"/>
  <c r="H21" i="34"/>
  <c r="H21" i="33"/>
  <c r="H13" i="34"/>
  <c r="H13" i="33"/>
  <c r="H5" i="34"/>
  <c r="H5" i="33"/>
  <c r="I62" i="34"/>
  <c r="I62" i="33"/>
  <c r="I54" i="34"/>
  <c r="I54" i="33"/>
  <c r="I46" i="34"/>
  <c r="I46" i="33"/>
  <c r="I38" i="34"/>
  <c r="I38" i="33"/>
  <c r="I30" i="34"/>
  <c r="I30" i="33"/>
  <c r="I22" i="34"/>
  <c r="I22" i="33"/>
  <c r="I6" i="34"/>
  <c r="I6" i="33"/>
  <c r="J63" i="34"/>
  <c r="J63" i="33"/>
  <c r="J55" i="34"/>
  <c r="J55" i="33"/>
  <c r="J47" i="34"/>
  <c r="J47" i="33"/>
  <c r="J39" i="34"/>
  <c r="J39" i="33"/>
  <c r="J31" i="34"/>
  <c r="J31" i="33"/>
  <c r="J23" i="34"/>
  <c r="J23" i="33"/>
  <c r="J15" i="34"/>
  <c r="J15" i="33"/>
  <c r="J7" i="34"/>
  <c r="J7" i="33"/>
  <c r="K64" i="34"/>
  <c r="K64" i="33"/>
  <c r="K56" i="34"/>
  <c r="K56" i="33"/>
  <c r="K48" i="34"/>
  <c r="K48" i="33"/>
  <c r="K40" i="34"/>
  <c r="K40" i="33"/>
  <c r="K32" i="34"/>
  <c r="K32" i="33"/>
  <c r="K24" i="34"/>
  <c r="K24" i="33"/>
  <c r="K16" i="34"/>
  <c r="K16" i="33"/>
  <c r="K8" i="34"/>
  <c r="K8" i="33"/>
  <c r="L64" i="34"/>
  <c r="L64" i="33"/>
  <c r="L56" i="34"/>
  <c r="L56" i="33"/>
  <c r="L40" i="34"/>
  <c r="L40" i="33"/>
  <c r="L32" i="34"/>
  <c r="L32" i="33"/>
  <c r="L24" i="34"/>
  <c r="L24" i="33"/>
  <c r="L16" i="34"/>
  <c r="L16" i="33"/>
  <c r="L8" i="34"/>
  <c r="L8" i="33"/>
  <c r="M64" i="34"/>
  <c r="M64" i="33"/>
  <c r="M56" i="34"/>
  <c r="M56" i="33"/>
  <c r="O57" i="34"/>
  <c r="O57" i="33"/>
  <c r="O49" i="34"/>
  <c r="O49" i="33"/>
  <c r="O41" i="34"/>
  <c r="O41" i="33"/>
  <c r="O33" i="34"/>
  <c r="O33" i="33"/>
  <c r="O25" i="34"/>
  <c r="O25" i="33"/>
  <c r="O17" i="34"/>
  <c r="O17" i="33"/>
  <c r="O9" i="34"/>
  <c r="O9" i="33"/>
  <c r="P57" i="34"/>
  <c r="P57" i="33"/>
  <c r="P49" i="34"/>
  <c r="P49" i="33"/>
  <c r="P33" i="34"/>
  <c r="P33" i="33"/>
  <c r="R63" i="34"/>
  <c r="R63" i="33"/>
  <c r="R55" i="34"/>
  <c r="R55" i="33"/>
  <c r="R47" i="34"/>
  <c r="R47" i="33"/>
  <c r="R39" i="34"/>
  <c r="R39" i="33"/>
  <c r="R31" i="34"/>
  <c r="R31" i="33"/>
  <c r="R23" i="34"/>
  <c r="R23" i="33"/>
  <c r="R15" i="34"/>
  <c r="R15" i="33"/>
  <c r="R7" i="34"/>
  <c r="R7" i="33"/>
  <c r="I34" i="33"/>
  <c r="M20" i="33"/>
  <c r="D27" i="33"/>
  <c r="L20" i="33"/>
  <c r="L23" i="33"/>
  <c r="O28" i="33"/>
  <c r="L2" i="33"/>
  <c r="Q37" i="34"/>
  <c r="Q37" i="33"/>
  <c r="R38" i="34"/>
  <c r="R38" i="33"/>
  <c r="S15" i="34"/>
  <c r="S15" i="33"/>
  <c r="T16" i="34"/>
  <c r="T16" i="33"/>
  <c r="C21" i="33"/>
  <c r="C22" i="33"/>
  <c r="C31" i="33"/>
  <c r="C32" i="33"/>
  <c r="T8" i="33"/>
  <c r="S23" i="33"/>
  <c r="T21" i="33"/>
  <c r="S28" i="33"/>
  <c r="R35" i="33"/>
  <c r="Q42" i="33"/>
  <c r="T6" i="33"/>
  <c r="S13" i="33"/>
  <c r="R20" i="33"/>
  <c r="Q35" i="33"/>
  <c r="Q36" i="33"/>
  <c r="R22" i="33"/>
  <c r="Q29" i="33"/>
  <c r="T35" i="33"/>
  <c r="S42" i="33"/>
  <c r="R57" i="33"/>
  <c r="P7" i="33"/>
  <c r="O14" i="33"/>
  <c r="N21" i="33"/>
  <c r="T20" i="33"/>
  <c r="S35" i="33"/>
  <c r="R42" i="33"/>
  <c r="Q49" i="33"/>
  <c r="P64" i="33"/>
  <c r="N6" i="33"/>
  <c r="N9" i="33"/>
  <c r="Q55" i="33"/>
  <c r="N4" i="33"/>
  <c r="L58" i="33"/>
  <c r="I55" i="33"/>
  <c r="F4" i="33"/>
  <c r="D58" i="33"/>
  <c r="M48" i="34"/>
  <c r="M48" i="33"/>
  <c r="M40" i="34"/>
  <c r="M40" i="33"/>
  <c r="M8" i="34"/>
  <c r="M8" i="33"/>
  <c r="N57" i="34"/>
  <c r="N57" i="33"/>
  <c r="N49" i="34"/>
  <c r="N49" i="33"/>
  <c r="N41" i="34"/>
  <c r="N41" i="33"/>
  <c r="N33" i="34"/>
  <c r="N33" i="33"/>
  <c r="O58" i="34"/>
  <c r="O58" i="33"/>
  <c r="O50" i="34"/>
  <c r="O50" i="33"/>
  <c r="O42" i="34"/>
  <c r="O42" i="33"/>
  <c r="O34" i="34"/>
  <c r="O34" i="33"/>
  <c r="P59" i="34"/>
  <c r="P59" i="33"/>
  <c r="P51" i="34"/>
  <c r="P51" i="33"/>
  <c r="P43" i="34"/>
  <c r="P43" i="33"/>
  <c r="P35" i="34"/>
  <c r="P35" i="33"/>
  <c r="Q60" i="34"/>
  <c r="Q60" i="33"/>
  <c r="R61" i="34"/>
  <c r="R61" i="33"/>
  <c r="T24" i="33"/>
  <c r="S31" i="33"/>
  <c r="T29" i="33"/>
  <c r="S36" i="33"/>
  <c r="R43" i="33"/>
  <c r="Q50" i="33"/>
  <c r="T14" i="33"/>
  <c r="S21" i="33"/>
  <c r="R36" i="33"/>
  <c r="Q43" i="33"/>
  <c r="Q44" i="33"/>
  <c r="R30" i="33"/>
  <c r="Q45" i="33"/>
  <c r="T43" i="33"/>
  <c r="S58" i="33"/>
  <c r="Q8" i="33"/>
  <c r="P15" i="33"/>
  <c r="O22" i="33"/>
  <c r="T36" i="33"/>
  <c r="S43" i="33"/>
  <c r="R50" i="33"/>
  <c r="Q57" i="33"/>
  <c r="O7" i="33"/>
  <c r="N14" i="33"/>
  <c r="N17" i="33"/>
  <c r="C57" i="33"/>
  <c r="Q63" i="33"/>
  <c r="N52" i="33"/>
  <c r="I63" i="33"/>
  <c r="F52" i="33"/>
  <c r="P26" i="34"/>
  <c r="P26" i="33"/>
  <c r="Q27" i="34"/>
  <c r="Q27" i="33"/>
  <c r="R28" i="34"/>
  <c r="R28" i="33"/>
  <c r="S29" i="34"/>
  <c r="S29" i="33"/>
  <c r="T30" i="34"/>
  <c r="T30" i="33"/>
  <c r="C37" i="33"/>
  <c r="C38" i="33"/>
  <c r="C47" i="33"/>
  <c r="C48" i="33"/>
  <c r="T32" i="33"/>
  <c r="S39" i="33"/>
  <c r="T37" i="33"/>
  <c r="S44" i="33"/>
  <c r="R51" i="33"/>
  <c r="Q58" i="33"/>
  <c r="T22" i="33"/>
  <c r="S37" i="33"/>
  <c r="R44" i="33"/>
  <c r="Q51" i="33"/>
  <c r="Q52" i="33"/>
  <c r="R46" i="33"/>
  <c r="Q53" i="33"/>
  <c r="T59" i="33"/>
  <c r="Q16" i="33"/>
  <c r="P23" i="33"/>
  <c r="O30" i="33"/>
  <c r="T44" i="33"/>
  <c r="S51" i="33"/>
  <c r="R58" i="33"/>
  <c r="P8" i="33"/>
  <c r="O15" i="33"/>
  <c r="N22" i="33"/>
  <c r="N25" i="33"/>
  <c r="C9" i="33"/>
  <c r="P6" i="33"/>
  <c r="N60" i="33"/>
  <c r="K49" i="33"/>
  <c r="H6" i="33"/>
  <c r="F60" i="33"/>
  <c r="R3" i="34"/>
  <c r="R3" i="33"/>
  <c r="S4" i="34"/>
  <c r="S4" i="33"/>
  <c r="T5" i="34"/>
  <c r="T5" i="33"/>
  <c r="C45" i="33"/>
  <c r="C46" i="33"/>
  <c r="C55" i="33"/>
  <c r="C56" i="33"/>
  <c r="T40" i="33"/>
  <c r="S47" i="33"/>
  <c r="T45" i="33"/>
  <c r="S52" i="33"/>
  <c r="R59" i="33"/>
  <c r="P9" i="33"/>
  <c r="T38" i="33"/>
  <c r="S45" i="33"/>
  <c r="R52" i="33"/>
  <c r="Q59" i="33"/>
  <c r="P3" i="33"/>
  <c r="R54" i="33"/>
  <c r="Q61" i="33"/>
  <c r="R9" i="33"/>
  <c r="Q24" i="33"/>
  <c r="P31" i="33"/>
  <c r="O38" i="33"/>
  <c r="T52" i="33"/>
  <c r="S59" i="33"/>
  <c r="P16" i="33"/>
  <c r="O23" i="33"/>
  <c r="M16" i="33"/>
  <c r="C17" i="33"/>
  <c r="P54" i="33"/>
  <c r="M3" i="33"/>
  <c r="K57" i="33"/>
  <c r="H54" i="33"/>
  <c r="E3" i="33"/>
  <c r="N30" i="34"/>
  <c r="N30" i="33"/>
  <c r="O31" i="34"/>
  <c r="O31" i="33"/>
  <c r="P32" i="34"/>
  <c r="P32" i="33"/>
  <c r="Q25" i="34"/>
  <c r="Q25" i="33"/>
  <c r="R26" i="34"/>
  <c r="R26" i="33"/>
  <c r="S27" i="34"/>
  <c r="S27" i="33"/>
  <c r="T28" i="34"/>
  <c r="T28" i="33"/>
  <c r="C53" i="33"/>
  <c r="C54" i="33"/>
  <c r="C63" i="33"/>
  <c r="C64" i="33"/>
  <c r="T48" i="33"/>
  <c r="S55" i="33"/>
  <c r="T53" i="33"/>
  <c r="S60" i="33"/>
  <c r="Q10" i="33"/>
  <c r="P17" i="33"/>
  <c r="T46" i="33"/>
  <c r="S53" i="33"/>
  <c r="R60" i="33"/>
  <c r="Q4" i="33"/>
  <c r="P11" i="33"/>
  <c r="R62" i="33"/>
  <c r="P4" i="33"/>
  <c r="T3" i="33"/>
  <c r="S10" i="33"/>
  <c r="R17" i="33"/>
  <c r="Q32" i="33"/>
  <c r="P39" i="33"/>
  <c r="O46" i="33"/>
  <c r="T60" i="33"/>
  <c r="Q9" i="33"/>
  <c r="P24" i="33"/>
  <c r="O39" i="33"/>
  <c r="M24" i="33"/>
  <c r="P62" i="33"/>
  <c r="M51" i="33"/>
  <c r="J8" i="33"/>
  <c r="H62" i="33"/>
  <c r="E51" i="33"/>
  <c r="O54" i="34"/>
  <c r="O54" i="33"/>
  <c r="P55" i="34"/>
  <c r="P55" i="33"/>
  <c r="Q56" i="34"/>
  <c r="Q56" i="33"/>
  <c r="R49" i="34"/>
  <c r="R49" i="33"/>
  <c r="S50" i="34"/>
  <c r="S50" i="33"/>
  <c r="T51" i="34"/>
  <c r="T51" i="33"/>
  <c r="C61" i="33"/>
  <c r="C62" i="33"/>
  <c r="C7" i="33"/>
  <c r="C8" i="33"/>
  <c r="T56" i="33"/>
  <c r="S63" i="33"/>
  <c r="T61" i="33"/>
  <c r="R11" i="33"/>
  <c r="Q18" i="33"/>
  <c r="P25" i="33"/>
  <c r="T54" i="33"/>
  <c r="S61" i="33"/>
  <c r="Q3" i="33"/>
  <c r="P10" i="33"/>
  <c r="Q12" i="33"/>
  <c r="P19" i="33"/>
  <c r="Q5" i="33"/>
  <c r="P12" i="33"/>
  <c r="T11" i="33"/>
  <c r="S18" i="33"/>
  <c r="R25" i="33"/>
  <c r="Q40" i="33"/>
  <c r="P47" i="33"/>
  <c r="O62" i="33"/>
  <c r="S3" i="33"/>
  <c r="R10" i="33"/>
  <c r="Q17" i="33"/>
  <c r="P40" i="33"/>
  <c r="O47" i="33"/>
  <c r="O10" i="33"/>
  <c r="M32" i="33"/>
  <c r="R56" i="33"/>
  <c r="O5" i="33"/>
  <c r="M59" i="33"/>
  <c r="J56" i="33"/>
  <c r="G5" i="33"/>
  <c r="E59" i="33"/>
  <c r="C49" i="34"/>
  <c r="C49" i="33"/>
  <c r="C41" i="34"/>
  <c r="C41" i="33"/>
  <c r="C33" i="34"/>
  <c r="C33" i="33"/>
  <c r="C25" i="34"/>
  <c r="C25" i="33"/>
  <c r="D42" i="34"/>
  <c r="D42" i="33"/>
  <c r="D34" i="34"/>
  <c r="D34" i="33"/>
  <c r="D26" i="34"/>
  <c r="D26" i="33"/>
  <c r="D18" i="34"/>
  <c r="D18" i="33"/>
  <c r="D10" i="34"/>
  <c r="D10" i="33"/>
  <c r="E43" i="34"/>
  <c r="E43" i="33"/>
  <c r="E35" i="34"/>
  <c r="E35" i="33"/>
  <c r="E27" i="34"/>
  <c r="E27" i="33"/>
  <c r="E19" i="34"/>
  <c r="E19" i="33"/>
  <c r="E11" i="34"/>
  <c r="E11" i="33"/>
  <c r="F44" i="34"/>
  <c r="F44" i="33"/>
  <c r="F36" i="34"/>
  <c r="F36" i="33"/>
  <c r="F28" i="34"/>
  <c r="F28" i="33"/>
  <c r="F20" i="34"/>
  <c r="F20" i="33"/>
  <c r="F12" i="34"/>
  <c r="F12" i="33"/>
  <c r="G45" i="34"/>
  <c r="G45" i="33"/>
  <c r="G37" i="34"/>
  <c r="G37" i="33"/>
  <c r="G29" i="34"/>
  <c r="G29" i="33"/>
  <c r="G21" i="34"/>
  <c r="G21" i="33"/>
  <c r="G13" i="34"/>
  <c r="G13" i="33"/>
  <c r="H46" i="34"/>
  <c r="H46" i="33"/>
  <c r="H38" i="34"/>
  <c r="H38" i="33"/>
  <c r="H30" i="34"/>
  <c r="H30" i="33"/>
  <c r="H22" i="34"/>
  <c r="H22" i="33"/>
  <c r="H14" i="34"/>
  <c r="H14" i="33"/>
  <c r="I47" i="34"/>
  <c r="I47" i="33"/>
  <c r="I39" i="34"/>
  <c r="I39" i="33"/>
  <c r="I31" i="34"/>
  <c r="I31" i="33"/>
  <c r="I23" i="34"/>
  <c r="I23" i="33"/>
  <c r="I15" i="34"/>
  <c r="I15" i="33"/>
  <c r="J48" i="34"/>
  <c r="J48" i="33"/>
  <c r="J40" i="34"/>
  <c r="J40" i="33"/>
  <c r="J32" i="34"/>
  <c r="J32" i="33"/>
  <c r="J24" i="34"/>
  <c r="J24" i="33"/>
  <c r="J16" i="34"/>
  <c r="J16" i="33"/>
  <c r="K41" i="34"/>
  <c r="K41" i="33"/>
  <c r="K33" i="34"/>
  <c r="K33" i="33"/>
  <c r="K25" i="34"/>
  <c r="K25" i="33"/>
  <c r="K17" i="34"/>
  <c r="K17" i="33"/>
  <c r="K9" i="34"/>
  <c r="K9" i="33"/>
  <c r="L42" i="34"/>
  <c r="L42" i="33"/>
  <c r="L34" i="34"/>
  <c r="L34" i="33"/>
  <c r="L26" i="34"/>
  <c r="L26" i="33"/>
  <c r="L18" i="34"/>
  <c r="L18" i="33"/>
  <c r="L10" i="34"/>
  <c r="L10" i="33"/>
  <c r="M43" i="34"/>
  <c r="M43" i="33"/>
  <c r="M35" i="34"/>
  <c r="M35" i="33"/>
  <c r="M27" i="34"/>
  <c r="M27" i="33"/>
  <c r="M19" i="34"/>
  <c r="M19" i="33"/>
  <c r="M11" i="34"/>
  <c r="M11" i="33"/>
  <c r="N44" i="34"/>
  <c r="N44" i="33"/>
  <c r="N36" i="34"/>
  <c r="N36" i="33"/>
  <c r="N28" i="34"/>
  <c r="N28" i="33"/>
  <c r="N20" i="34"/>
  <c r="N20" i="33"/>
  <c r="N12" i="34"/>
  <c r="N12" i="33"/>
  <c r="O45" i="34"/>
  <c r="O45" i="33"/>
  <c r="O37" i="34"/>
  <c r="O37" i="33"/>
  <c r="O29" i="34"/>
  <c r="O29" i="33"/>
  <c r="O21" i="34"/>
  <c r="O21" i="33"/>
  <c r="O13" i="34"/>
  <c r="O13" i="33"/>
  <c r="P46" i="34"/>
  <c r="P46" i="33"/>
  <c r="P38" i="34"/>
  <c r="P38" i="33"/>
  <c r="P30" i="34"/>
  <c r="P30" i="33"/>
  <c r="P22" i="34"/>
  <c r="P22" i="33"/>
  <c r="P14" i="34"/>
  <c r="P14" i="33"/>
  <c r="Q47" i="34"/>
  <c r="Q47" i="33"/>
  <c r="Q39" i="34"/>
  <c r="Q39" i="33"/>
  <c r="Q31" i="34"/>
  <c r="Q31" i="33"/>
  <c r="Q23" i="34"/>
  <c r="Q23" i="33"/>
  <c r="Q15" i="34"/>
  <c r="Q15" i="33"/>
  <c r="R48" i="34"/>
  <c r="R48" i="33"/>
  <c r="R40" i="34"/>
  <c r="R40" i="33"/>
  <c r="R32" i="34"/>
  <c r="R32" i="33"/>
  <c r="R24" i="34"/>
  <c r="R24" i="33"/>
  <c r="R16" i="34"/>
  <c r="R16" i="33"/>
  <c r="S57" i="34"/>
  <c r="S57" i="33"/>
  <c r="T58" i="34"/>
  <c r="T58" i="33"/>
  <c r="C5" i="33"/>
  <c r="C6" i="33"/>
  <c r="C15" i="33"/>
  <c r="C16" i="33"/>
  <c r="T64" i="33"/>
  <c r="R6" i="33"/>
  <c r="S12" i="33"/>
  <c r="R19" i="33"/>
  <c r="Q26" i="33"/>
  <c r="T62" i="33"/>
  <c r="R4" i="33"/>
  <c r="Q11" i="33"/>
  <c r="P18" i="33"/>
  <c r="Q20" i="33"/>
  <c r="P27" i="33"/>
  <c r="Q13" i="33"/>
  <c r="T10" i="33"/>
  <c r="S17" i="33"/>
  <c r="T19" i="33"/>
  <c r="S26" i="33"/>
  <c r="R33" i="33"/>
  <c r="Q48" i="33"/>
  <c r="P63" i="33"/>
  <c r="N5" i="33"/>
  <c r="T4" i="33"/>
  <c r="S11" i="33"/>
  <c r="R18" i="33"/>
  <c r="Q33" i="33"/>
  <c r="P48" i="33"/>
  <c r="O55" i="33"/>
  <c r="O18" i="33"/>
  <c r="R64" i="33"/>
  <c r="O53" i="33"/>
  <c r="J64" i="33"/>
  <c r="G53" i="33"/>
  <c r="C29" i="33"/>
  <c r="C30" i="33"/>
  <c r="C39" i="33"/>
  <c r="C40" i="33"/>
  <c r="T63" i="33"/>
  <c r="S62" i="33"/>
  <c r="F67" i="34" l="1"/>
  <c r="F67" i="33"/>
  <c r="O66" i="34"/>
  <c r="O66" i="33"/>
  <c r="E66" i="34"/>
  <c r="E66" i="33"/>
  <c r="T67" i="34"/>
  <c r="T67" i="33"/>
  <c r="Q67" i="34"/>
  <c r="Q67" i="33"/>
  <c r="M67" i="34"/>
  <c r="M67" i="33"/>
  <c r="C66" i="34"/>
  <c r="C66" i="33"/>
  <c r="E67" i="34"/>
  <c r="E67" i="33"/>
  <c r="Q66" i="34"/>
  <c r="Q66" i="33"/>
  <c r="P66" i="34"/>
  <c r="P66" i="33"/>
  <c r="N66" i="34"/>
  <c r="N66" i="33"/>
  <c r="M66" i="34"/>
  <c r="M66" i="33"/>
  <c r="D67" i="34"/>
  <c r="D67" i="33"/>
  <c r="D66" i="34"/>
  <c r="D66" i="33"/>
  <c r="T66" i="34"/>
  <c r="T66" i="33"/>
  <c r="C67" i="34"/>
  <c r="C67" i="33"/>
  <c r="O67" i="34"/>
  <c r="O67" i="33"/>
  <c r="L66" i="34"/>
  <c r="L66" i="33"/>
  <c r="S66" i="34"/>
  <c r="S66" i="33"/>
  <c r="P67" i="34"/>
  <c r="P67" i="33"/>
  <c r="R66" i="34"/>
  <c r="R66" i="33"/>
  <c r="S67" i="34"/>
  <c r="S67" i="33"/>
  <c r="K67" i="34"/>
  <c r="K67" i="33"/>
  <c r="R67" i="34"/>
  <c r="R67" i="33"/>
</calcChain>
</file>

<file path=xl/sharedStrings.xml><?xml version="1.0" encoding="utf-8"?>
<sst xmlns="http://schemas.openxmlformats.org/spreadsheetml/2006/main" count="2986" uniqueCount="72">
  <si>
    <t>Male</t>
  </si>
  <si>
    <t>Auckland</t>
  </si>
  <si>
    <t>Bay of Plenty</t>
  </si>
  <si>
    <t>Canterbury</t>
  </si>
  <si>
    <t>Capital and Coast</t>
  </si>
  <si>
    <t>Counties Manukau</t>
  </si>
  <si>
    <t>Hawkes Bay</t>
  </si>
  <si>
    <t>Hutt Valley</t>
  </si>
  <si>
    <t>Lakes</t>
  </si>
  <si>
    <t>MidCentral</t>
  </si>
  <si>
    <t>Nelson Marlborough</t>
  </si>
  <si>
    <t>Northland</t>
  </si>
  <si>
    <t>Overseas / Unknown</t>
  </si>
  <si>
    <t>South Canterbury</t>
  </si>
  <si>
    <t>Southern</t>
  </si>
  <si>
    <t>Tairawhiti</t>
  </si>
  <si>
    <t>Taranaki</t>
  </si>
  <si>
    <t>Waikato</t>
  </si>
  <si>
    <t>Wairarapa</t>
  </si>
  <si>
    <t>Waitemata</t>
  </si>
  <si>
    <t>West Coast</t>
  </si>
  <si>
    <t>Whanganui</t>
  </si>
  <si>
    <t>Total</t>
  </si>
  <si>
    <t>Female</t>
  </si>
  <si>
    <t>Group</t>
  </si>
  <si>
    <t xml:space="preserve">  5-11</t>
  </si>
  <si>
    <t xml:space="preserve">  12-17</t>
  </si>
  <si>
    <t xml:space="preserve">  18-24</t>
  </si>
  <si>
    <t xml:space="preserve">  25-29 </t>
  </si>
  <si>
    <t xml:space="preserve">  30-34</t>
  </si>
  <si>
    <t xml:space="preserve">  35-39</t>
  </si>
  <si>
    <t xml:space="preserve">  40-44</t>
  </si>
  <si>
    <t xml:space="preserve">  45-49 </t>
  </si>
  <si>
    <t xml:space="preserve">  50-54</t>
  </si>
  <si>
    <t xml:space="preserve">  55-59</t>
  </si>
  <si>
    <t xml:space="preserve">  60-64</t>
  </si>
  <si>
    <t xml:space="preserve">  65-69</t>
  </si>
  <si>
    <t xml:space="preserve">  70-74</t>
  </si>
  <si>
    <t xml:space="preserve">  75-79</t>
  </si>
  <si>
    <t xml:space="preserve">  80-84</t>
  </si>
  <si>
    <t xml:space="preserve">  85-89</t>
  </si>
  <si>
    <t xml:space="preserve">  90+</t>
  </si>
  <si>
    <t>DHB</t>
  </si>
  <si>
    <t>Māori</t>
  </si>
  <si>
    <t>Age</t>
  </si>
  <si>
    <t>Gender</t>
  </si>
  <si>
    <t>Total people (5+)</t>
  </si>
  <si>
    <t xml:space="preserve">  0-4 Years</t>
  </si>
  <si>
    <t xml:space="preserve">  5-11 Years</t>
  </si>
  <si>
    <t xml:space="preserve">  12-17 Years</t>
  </si>
  <si>
    <t xml:space="preserve">  18-24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</si>
  <si>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</si>
  <si>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</si>
  <si>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</si>
  <si>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</si>
  <si>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</si>
  <si>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</si>
  <si>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</si>
  <si>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</si>
  <si>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</si>
  <si>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</si>
  <si>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</si>
  <si>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</si>
  <si>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85-89 Years</t>
  </si>
  <si>
    <t xml:space="preserve">  90 Years and over</t>
  </si>
  <si>
    <t>NOTE: Māori population does not include 'Various' and 'Unknown/Other' Genders, cause for concern?</t>
  </si>
  <si>
    <t>Source:</t>
  </si>
  <si>
    <t>2021 ERP DHB Population (Māori) (5+)</t>
  </si>
  <si>
    <t>2021 ERP DHB Population (All) (5+)</t>
  </si>
  <si>
    <t>NOTE: Grand Total includes age category 'Various' = 191 and 'Various' and 'Unknown/Other' Genders</t>
  </si>
  <si>
    <t>HSU DHB Population (Māori) 5+</t>
  </si>
  <si>
    <t>HSU DHB Population (Total) 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</si>
</sst>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" xfId="2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0" fontId="4" fillId="0" borderId="0" xfId="2" applyFont="1"/>
    <xf numFmtId="0" fontId="5" fillId="0" borderId="0" xfId="2" applyFont="1"/>
    <xf numFmtId="0" fontId="4" fillId="0" borderId="0" xfId="2" applyFont="1" applyAlignment="1">
      <alignment horizontal="center"/>
    </xf>
    <xf numFmtId="0" fontId="6" fillId="0" borderId="0" xfId="0" applyFont="1"/>
    <xf numFmtId="0" fontId="4" fillId="0" borderId="0" xfId="2" quotePrefix="1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quotePrefix="1" applyFont="1"/>
    <xf numFmtId="0" fontId="7" fillId="0" borderId="0" xfId="0" applyFont="1"/>
    <xf numFmtId="0" fontId="4" fillId="0" borderId="0" xfId="0" applyFont="1" applyAlignment="1">
      <alignment horizontal="left"/>
    </xf>
    <xf numFmtId="0" fontId="4" fillId="0" borderId="0" xfId="3" applyFont="1"/>
    <xf numFmtId="0" fontId="4" fillId="0" borderId="0" xfId="4" applyFont="1"/>
    <xf numFmtId="0" fontId="9" fillId="2" borderId="0" xfId="0" applyFont="1" applyFill="1"/>
    <xf numFmtId="0" fontId="0" fillId="2" borderId="0" xfId="0" applyFill="1"/>
    <xf numFmtId="0" fontId="8" fillId="0" borderId="0" xfId="0" applyFont="1"/>
    <xf numFmtId="0" fontId="8" fillId="2" borderId="0" xfId="0" applyFont="1" applyFill="1"/>
    <xf numFmtId="0" fontId="0" fillId="0" borderId="0" xfId="0" applyAlignment="1">
      <alignment horizontal="left"/>
    </xf>
    <xf numFmtId="3" fontId="1" fillId="0" borderId="0" xfId="1" applyNumberFormat="1"/>
    <xf numFmtId="0" fontId="1" fillId="0" borderId="0" xfId="1"/>
    <xf numFmtId="0" fontId="8" fillId="0" borderId="0" xfId="0" applyFont="1" applyAlignment="1">
      <alignment horizontal="left"/>
    </xf>
    <xf numFmtId="0" fontId="10" fillId="3" borderId="0" xfId="0" applyFont="1" applyFill="1"/>
    <xf numFmtId="0" fontId="10" fillId="0" borderId="0" xfId="0" applyFont="1"/>
    <xf numFmtId="3" fontId="0" fillId="0" borderId="0" xfId="0" applyNumberFormat="1"/>
    <xf numFmtId="164" fontId="0" fillId="0" borderId="0" xfId="5" applyNumberFormat="1" applyFont="1" applyFill="1"/>
    <xf numFmtId="164" fontId="1" fillId="0" borderId="0" xfId="5" applyNumberFormat="1" applyFont="1" applyFill="1"/>
    <xf numFmtId="0" fontId="8" fillId="0" borderId="2" xfId="0" applyFont="1" applyBorder="1"/>
    <xf numFmtId="3" fontId="0" fillId="0" borderId="2" xfId="0" applyNumberFormat="1" applyBorder="1"/>
    <xf numFmtId="3" fontId="1" fillId="0" borderId="2" xfId="1" applyNumberFormat="1" applyBorder="1"/>
    <xf numFmtId="164" fontId="1" fillId="0" borderId="2" xfId="5" applyNumberFormat="1" applyFont="1" applyFill="1" applyBorder="1"/>
    <xf numFmtId="0" fontId="1" fillId="0" borderId="2" xfId="1" applyBorder="1"/>
    <xf numFmtId="164" fontId="0" fillId="0" borderId="0" xfId="5" applyNumberFormat="1" applyFont="1" applyFill="1" applyBorder="1"/>
    <xf numFmtId="0" fontId="0" fillId="0" borderId="2" xfId="0" applyBorder="1"/>
    <xf numFmtId="164" fontId="1" fillId="0" borderId="0" xfId="5" applyNumberFormat="1" applyFont="1" applyFill="1" applyBorder="1"/>
    <xf numFmtId="0" fontId="11" fillId="0" borderId="0" xfId="2" applyFont="1" applyAlignment="1">
      <alignment horizontal="center"/>
    </xf>
    <xf numFmtId="1" fontId="4" fillId="0" borderId="0" xfId="2" applyNumberFormat="1" applyFont="1"/>
    <xf numFmtId="1" fontId="4" fillId="0" borderId="0" xfId="3" applyNumberFormat="1" applyFont="1"/>
    <xf numFmtId="1" fontId="4" fillId="0" borderId="0" xfId="4" applyNumberFormat="1" applyFont="1"/>
    <xf numFmtId="0" fontId="8" fillId="0" borderId="0" xfId="0" applyFont="1" applyAlignment="1">
      <alignment horizontal="center"/>
    </xf>
  </cellXfs>
  <cellStyles count="6">
    <cellStyle name="Comma" xfId="5" builtinId="3"/>
    <cellStyle name="Normal" xfId="0" builtinId="0"/>
    <cellStyle name="Normal 2" xfId="1" xr:uid="{4B6AE47F-45B7-4240-BF11-F6043F81A14A}"/>
    <cellStyle name="Normal 3" xfId="2" xr:uid="{EBC2A192-108D-A94D-9ACD-2FA6BED4B7C7}"/>
    <cellStyle name="Normal_Mortal2002" xfId="3" xr:uid="{AB3FD6DE-F843-FD42-88E2-D8160347865D}"/>
    <cellStyle name="Normal_Mortal2003" xfId="4" xr:uid="{3FF81B23-CF57-CC4D-B4FA-8BBC8E911AFC}"/>
  </cellStyles>
  <dxfs count="48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ridiamond/Main%20Folder/Honours/STATS%20781/Vaccination%20Rates/Vaccination%20Rates%20(ERP%20vs%20HSU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RP 2020"/>
      <sheetName val="HSU 2020"/>
      <sheetName val="ERP-HSU"/>
      <sheetName val="2021 ERP DHB Population Proj 0+"/>
      <sheetName val="2021 ERP DHB PopulationProj 5+"/>
      <sheetName val="2021 ERP DHB PopulationProj 12+"/>
      <sheetName val="HSU DHB Population 0+"/>
      <sheetName val="HSU DHB Population 5+"/>
      <sheetName val="HSU DHB Population 12+"/>
      <sheetName val="Māori Vacc Counts DHB 5+"/>
      <sheetName val="Māori Vacc Counts DHB 12+"/>
      <sheetName val="FV Māori Rate Tables 5+"/>
      <sheetName val="PV Māori Rate Tables  5+"/>
      <sheetName val="FV Māori Rate Tables 12+"/>
      <sheetName val="PV Māori Rate Tables 12+"/>
      <sheetName val="Unvaccinated Māori 5+"/>
      <sheetName val="Unvaccinated Māori 12+"/>
    </sheetNames>
    <sheetDataSet>
      <sheetData sheetId="0"/>
      <sheetData sheetId="1"/>
      <sheetData sheetId="2"/>
      <sheetData sheetId="3"/>
      <sheetData sheetId="4">
        <row r="76">
          <cell r="A76" t="str">
            <v>2021 Stats NZ Pop Projections</v>
          </cell>
        </row>
      </sheetData>
      <sheetData sheetId="5"/>
      <sheetData sheetId="6"/>
      <sheetData sheetId="7">
        <row r="76">
          <cell r="A76" t="str">
            <v>Ministry of Health; COVID-19 vaccination data through 15 Feb 2022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F8B12-0609-C34E-8C0F-9999DFB953F0}" name="Table341011" displayName="Table341011" ref="A1:T67" totalsRowShown="0" headerRowDxfId="479" dataDxfId="478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3DF65475-E6C7-EE41-A6C6-220E5BACB3FA}" name="DHB" dataDxfId="477"/>
    <tableColumn id="2" xr3:uid="{FA158D38-2080-2249-B7F0-A8E477B13108}" name="Group" dataDxfId="476"/>
    <tableColumn id="3" xr3:uid="{74061786-7997-C746-8D9E-F4609997224A}" name="Total" dataDxfId="475"/>
    <tableColumn id="5" xr3:uid="{DA306F22-3F48-4A49-AC11-CAA6E9BA0A53}" name="  5-11" dataDxfId="474"/>
    <tableColumn id="6" xr3:uid="{5F83CE89-5BA5-BF40-8A7A-4127143E7B5F}" name="  12-17" dataDxfId="473"/>
    <tableColumn id="7" xr3:uid="{B9617D73-C53E-2242-B52A-E57F6414D293}" name="  18-24" dataDxfId="472"/>
    <tableColumn id="8" xr3:uid="{D9F6C1EA-4209-8C42-A633-608A20E2A0CB}" name="  25-29 " dataDxfId="471"/>
    <tableColumn id="9" xr3:uid="{92606EB3-FEC6-724F-8BBE-141E71912473}" name="  30-34" dataDxfId="470"/>
    <tableColumn id="10" xr3:uid="{87955D89-86F1-DC45-8810-1E6CDBE9904D}" name="  35-39" dataDxfId="469"/>
    <tableColumn id="11" xr3:uid="{EE3F92F6-B460-884B-9091-13E63EBCD0AB}" name="  40-44" dataDxfId="468"/>
    <tableColumn id="12" xr3:uid="{86011D81-6238-4746-8143-BA0242AD637A}" name="  45-49 " dataDxfId="467"/>
    <tableColumn id="13" xr3:uid="{16AF8DB6-E158-4F4C-8CD6-5B492DBBD92B}" name="  50-54" dataDxfId="466"/>
    <tableColumn id="14" xr3:uid="{31FAD906-6661-474D-917D-3F34D6C08A78}" name="  55-59" dataDxfId="465"/>
    <tableColumn id="15" xr3:uid="{31D99995-3A60-494A-969C-9FB55D281E81}" name="  60-64" dataDxfId="464"/>
    <tableColumn id="16" xr3:uid="{4B972DEA-D3A8-0A47-9BDA-CF52781ADAAB}" name="  65-69" dataDxfId="463"/>
    <tableColumn id="17" xr3:uid="{869B753D-91C9-8D45-BBEF-E71226EEF9A7}" name="  70-74" dataDxfId="462"/>
    <tableColumn id="18" xr3:uid="{1B37E8CA-8BD0-7845-A73C-102D8B7BFCDE}" name="  75-79" dataDxfId="461"/>
    <tableColumn id="19" xr3:uid="{8A2EF1A0-EC57-C440-A2C7-50DD860C7448}" name="  80-84" dataDxfId="460"/>
    <tableColumn id="20" xr3:uid="{5EB065FC-80EB-5046-84AF-5B76774A2CCE}" name="  85-89" dataDxfId="459"/>
    <tableColumn id="21" xr3:uid="{75353B58-0671-DC42-837E-7F5EAAA9A20D}" name="  90+" dataDxfId="45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D97A097-A7F3-324E-9C37-6C3C1532B72B}" name="Table3410111213181417" displayName="Table3410111213181417" ref="A1:T67" totalsRowShown="0" headerRowDxfId="281" dataDxfId="280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86D1807A-FED7-054A-8A51-0CB172F2FFAF}" name="DHB" dataDxfId="279"/>
    <tableColumn id="2" xr3:uid="{3541CF30-DE56-1845-B394-64A87AB3B462}" name="Group" dataDxfId="278"/>
    <tableColumn id="3" xr3:uid="{80215B7D-73CD-4043-83BE-DB310D2B52E4}" name="Total" dataDxfId="277">
      <calculatedColumnFormula>Table34101112131814[[#This Row],[Total]]-Table341011[[#This Row],[Total]]</calculatedColumnFormula>
    </tableColumn>
    <tableColumn id="5" xr3:uid="{64949CBC-1D07-604C-94DE-CF96B9D1DFC6}" name="  5-11" dataDxfId="276" dataCellStyle="Normal 3">
      <calculatedColumnFormula>Table34101112131814[[#This Row],[  5-11]]-Table341011[[#This Row],[  5-11]]</calculatedColumnFormula>
    </tableColumn>
    <tableColumn id="6" xr3:uid="{CE2ACB11-B434-FB4D-BA0D-E18068E5F37E}" name="  12-17" dataDxfId="275" dataCellStyle="Normal 3">
      <calculatedColumnFormula>Table34101112131814[[#This Row],[  12-17]]-Table341011[[#This Row],[  12-17]]</calculatedColumnFormula>
    </tableColumn>
    <tableColumn id="7" xr3:uid="{6A243C37-B020-8A43-9630-6BFA54A5BCFD}" name="  18-24" dataDxfId="274" dataCellStyle="Normal 3">
      <calculatedColumnFormula>Table34101112131814[[#This Row],[  18-24]]-Table341011[[#This Row],[  18-24]]</calculatedColumnFormula>
    </tableColumn>
    <tableColumn id="8" xr3:uid="{05D382B9-191F-5E4F-A387-3FE802886B65}" name="  25-29 " dataDxfId="273" dataCellStyle="Normal 3">
      <calculatedColumnFormula>Table34101112131814[[#This Row],[  25-29 ]]-Table341011[[#This Row],[  25-29 ]]</calculatedColumnFormula>
    </tableColumn>
    <tableColumn id="9" xr3:uid="{7A06627F-C2AD-5444-9F31-BBECEBFF4E51}" name="  30-34" dataDxfId="272" dataCellStyle="Normal 3">
      <calculatedColumnFormula>Table34101112131814[[#This Row],[  30-34]]-Table341011[[#This Row],[  30-34]]</calculatedColumnFormula>
    </tableColumn>
    <tableColumn id="10" xr3:uid="{1C6A9347-2ED1-654A-9421-86FFB650AF43}" name="  35-39" dataDxfId="271" dataCellStyle="Normal 3">
      <calculatedColumnFormula>Table34101112131814[[#This Row],[  35-39]]-Table341011[[#This Row],[  35-39]]</calculatedColumnFormula>
    </tableColumn>
    <tableColumn id="11" xr3:uid="{AE5EE12B-BE58-864F-8E58-7BED145CAE6F}" name="  40-44" dataDxfId="270" dataCellStyle="Normal 3">
      <calculatedColumnFormula>Table34101112131814[[#This Row],[  40-44]]-Table341011[[#This Row],[  40-44]]</calculatedColumnFormula>
    </tableColumn>
    <tableColumn id="12" xr3:uid="{9A24A822-71CA-3F4A-B199-6295C77C534E}" name="  45-49 " dataDxfId="269" dataCellStyle="Normal 3">
      <calculatedColumnFormula>Table34101112131814[[#This Row],[  45-49 ]]-Table341011[[#This Row],[  45-49 ]]</calculatedColumnFormula>
    </tableColumn>
    <tableColumn id="13" xr3:uid="{1B6BD9BD-186D-5A40-89B6-F09D5DA3D359}" name="  50-54" dataDxfId="268" dataCellStyle="Normal 3">
      <calculatedColumnFormula>Table34101112131814[[#This Row],[  50-54]]-Table341011[[#This Row],[  50-54]]</calculatedColumnFormula>
    </tableColumn>
    <tableColumn id="14" xr3:uid="{28DE246B-34FA-5144-97FB-C1C1D8EAF9BD}" name="  55-59" dataDxfId="267" dataCellStyle="Normal 3">
      <calculatedColumnFormula>Table34101112131814[[#This Row],[  55-59]]-Table341011[[#This Row],[  55-59]]</calculatedColumnFormula>
    </tableColumn>
    <tableColumn id="15" xr3:uid="{2EB4DD1F-F4B0-1E4D-B980-17EA03898805}" name="  60-64" dataDxfId="266" dataCellStyle="Normal 3">
      <calculatedColumnFormula>Table34101112131814[[#This Row],[  60-64]]-Table341011[[#This Row],[  60-64]]</calculatedColumnFormula>
    </tableColumn>
    <tableColumn id="16" xr3:uid="{08C2E859-B6E4-2547-8325-DDBDD1D7749F}" name="  65-69" dataDxfId="265" dataCellStyle="Normal 3">
      <calculatedColumnFormula>Table34101112131814[[#This Row],[  65-69]]-Table341011[[#This Row],[  65-69]]</calculatedColumnFormula>
    </tableColumn>
    <tableColumn id="17" xr3:uid="{E34B71CC-4BA3-A240-9223-019E8CD302CA}" name="  70-74" dataDxfId="264" dataCellStyle="Normal 3">
      <calculatedColumnFormula>Table34101112131814[[#This Row],[  70-74]]-Table341011[[#This Row],[  70-74]]</calculatedColumnFormula>
    </tableColumn>
    <tableColumn id="18" xr3:uid="{0175F9C4-B6C4-8B43-820A-C62D18579402}" name="  75-79" dataDxfId="263" dataCellStyle="Normal 3">
      <calculatedColumnFormula>Table34101112131814[[#This Row],[  75-79]]-Table341011[[#This Row],[  75-79]]</calculatedColumnFormula>
    </tableColumn>
    <tableColumn id="19" xr3:uid="{C123481E-AE8C-7F4D-9A50-B3D07CFF83B5}" name="  80-84" dataDxfId="262" dataCellStyle="Normal 3">
      <calculatedColumnFormula>Table34101112131814[[#This Row],[  80-84]]-Table341011[[#This Row],[  80-84]]</calculatedColumnFormula>
    </tableColumn>
    <tableColumn id="20" xr3:uid="{BAD8BD4E-FADB-4D4B-B232-1DDF5B0E7152}" name="  85-89" dataDxfId="261" dataCellStyle="Normal 3">
      <calculatedColumnFormula>Table34101112131814[[#This Row],[  85-89]]-Table341011[[#This Row],[  85-89]]</calculatedColumnFormula>
    </tableColumn>
    <tableColumn id="21" xr3:uid="{8E7AADC0-4EB0-DA49-A2E0-308C16E32D8E}" name="  90+" dataDxfId="260" dataCellStyle="Normal 3">
      <calculatedColumnFormula>Table34101112131814[[#This Row],[  90+]]-Table341011[[#This Row],[  90+]]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F13923-49B0-1442-B2C4-2A1D05B83927}" name="Table34101112131819" displayName="Table34101112131819" ref="A1:T67" totalsRowShown="0" headerRowDxfId="259" dataDxfId="258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49DC94C-2A48-D441-A01B-4B336E780FBA}" name="DHB" dataDxfId="257"/>
    <tableColumn id="2" xr3:uid="{96630D47-4F0B-1844-BA33-042916A682F8}" name="Group" dataDxfId="256"/>
    <tableColumn id="3" xr3:uid="{723F7242-B4EF-9547-9BBC-18AC1931A199}" name="Total" dataDxfId="255">
      <calculatedColumnFormula>Table341011121318[[#This Row],[Total]]-Table3410111213[[#This Row],[Total]]</calculatedColumnFormula>
    </tableColumn>
    <tableColumn id="5" xr3:uid="{6AB3EFF7-1D12-2E45-A028-CF1CD6D14330}" name="  5-11" dataDxfId="254">
      <calculatedColumnFormula>Table341011121318[[#This Row],[  5-11]]-Table3410111213[[#This Row],[  5-11]]</calculatedColumnFormula>
    </tableColumn>
    <tableColumn id="6" xr3:uid="{9CEA9FE6-FCB1-3F41-AF34-A15B883D34C7}" name="  12-17" dataDxfId="253">
      <calculatedColumnFormula>Table341011121318[[#This Row],[  12-17]]-Table3410111213[[#This Row],[  12-17]]</calculatedColumnFormula>
    </tableColumn>
    <tableColumn id="7" xr3:uid="{4755B88B-A729-0D4B-ABBD-ABAF979C2328}" name="  18-24" dataDxfId="252">
      <calculatedColumnFormula>Table341011121318[[#This Row],[  18-24]]-Table3410111213[[#This Row],[  18-24]]</calculatedColumnFormula>
    </tableColumn>
    <tableColumn id="8" xr3:uid="{FE3A9512-75C2-8D4E-B3DC-BD96A34977F1}" name="  25-29 " dataDxfId="251">
      <calculatedColumnFormula>Table341011121318[[#This Row],[  25-29 ]]-Table3410111213[[#This Row],[  25-29 ]]</calculatedColumnFormula>
    </tableColumn>
    <tableColumn id="9" xr3:uid="{1735E788-1970-EB48-B25E-DF9E18DD89FE}" name="  30-34" dataDxfId="250">
      <calculatedColumnFormula>Table341011121318[[#This Row],[  30-34]]-Table3410111213[[#This Row],[  30-34]]</calculatedColumnFormula>
    </tableColumn>
    <tableColumn id="10" xr3:uid="{0FC1A93E-8C35-9740-8A61-69937016E670}" name="  35-39" dataDxfId="249">
      <calculatedColumnFormula>Table341011121318[[#This Row],[  35-39]]-Table3410111213[[#This Row],[  35-39]]</calculatedColumnFormula>
    </tableColumn>
    <tableColumn id="11" xr3:uid="{D648CF3C-203E-7540-A80D-0C3C8AD10B3A}" name="  40-44" dataDxfId="248">
      <calculatedColumnFormula>Table341011121318[[#This Row],[  40-44]]-Table3410111213[[#This Row],[  40-44]]</calculatedColumnFormula>
    </tableColumn>
    <tableColumn id="12" xr3:uid="{F7D6DC39-921F-DE48-9C87-AE874C8EECCE}" name="  45-49 " dataDxfId="247">
      <calculatedColumnFormula>Table341011121318[[#This Row],[  45-49 ]]-Table3410111213[[#This Row],[  45-49 ]]</calculatedColumnFormula>
    </tableColumn>
    <tableColumn id="13" xr3:uid="{6FF8A399-B7D2-F34C-A1EC-BCF49A98C618}" name="  50-54" dataDxfId="246">
      <calculatedColumnFormula>Table341011121318[[#This Row],[  50-54]]-Table3410111213[[#This Row],[  50-54]]</calculatedColumnFormula>
    </tableColumn>
    <tableColumn id="14" xr3:uid="{EEDF5E6D-26EE-504F-A8A1-89361BC15564}" name="  55-59" dataDxfId="245">
      <calculatedColumnFormula>Table341011121318[[#This Row],[  55-59]]-Table3410111213[[#This Row],[  55-59]]</calculatedColumnFormula>
    </tableColumn>
    <tableColumn id="15" xr3:uid="{367418D2-7C23-B341-B012-25A7FF380EE0}" name="  60-64" dataDxfId="244">
      <calculatedColumnFormula>Table341011121318[[#This Row],[  60-64]]-Table3410111213[[#This Row],[  60-64]]</calculatedColumnFormula>
    </tableColumn>
    <tableColumn id="16" xr3:uid="{2E3A6572-FF05-104A-9159-B888D9E2858F}" name="  65-69" dataDxfId="243">
      <calculatedColumnFormula>Table341011121318[[#This Row],[  65-69]]-Table3410111213[[#This Row],[  65-69]]</calculatedColumnFormula>
    </tableColumn>
    <tableColumn id="17" xr3:uid="{266D9F32-0FF1-3B4E-B616-AA5AAF1D6AC8}" name="  70-74" dataDxfId="242">
      <calculatedColumnFormula>Table341011121318[[#This Row],[  70-74]]-Table3410111213[[#This Row],[  70-74]]</calculatedColumnFormula>
    </tableColumn>
    <tableColumn id="18" xr3:uid="{23AEAE4F-1AA3-BF41-BE06-41A4CAC57D36}" name="  75-79" dataDxfId="241">
      <calculatedColumnFormula>Table341011121318[[#This Row],[  75-79]]-Table3410111213[[#This Row],[  75-79]]</calculatedColumnFormula>
    </tableColumn>
    <tableColumn id="19" xr3:uid="{AA470ECA-7832-7547-887B-CF9141EE4B52}" name="  80-84" dataDxfId="240">
      <calculatedColumnFormula>Table341011121318[[#This Row],[  80-84]]-Table3410111213[[#This Row],[  80-84]]</calculatedColumnFormula>
    </tableColumn>
    <tableColumn id="20" xr3:uid="{C47E87FB-444F-B143-8112-39B5FE60AA93}" name="  85-89" dataDxfId="239">
      <calculatedColumnFormula>Table341011121318[[#This Row],[  85-89]]-Table3410111213[[#This Row],[  85-89]]</calculatedColumnFormula>
    </tableColumn>
    <tableColumn id="21" xr3:uid="{D55886D3-AF6C-B441-99A6-EFEF1A35652A}" name="  90+" dataDxfId="238">
      <calculatedColumnFormula>Table341011121318[[#This Row],[  90+]]-Table3410111213[[#This Row],[  90+]]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C78C6C-0A96-004F-9399-52C2E30A7110}" name="Table341011121318142224" displayName="Table341011121318142224" ref="A1:T67" totalsRowShown="0" headerRowDxfId="237" dataDxfId="23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D187ADE7-C8C9-A249-97F8-31C8E1B03A39}" name="DHB" dataDxfId="235"/>
    <tableColumn id="2" xr3:uid="{A0993E05-D563-1E49-8E9D-66709531D1AD}" name="Group" dataDxfId="234"/>
    <tableColumn id="3" xr3:uid="{CC3B584C-5653-7745-B697-FD9E3545BED6}" name="Total" dataDxfId="233">
      <calculatedColumnFormula>Table3410111213181422[[#This Row],[Total]]-Table3410112[[#This Row],[Total]]</calculatedColumnFormula>
    </tableColumn>
    <tableColumn id="5" xr3:uid="{8D3B210C-3054-A047-BC4F-D7707C604462}" name="  5-11" dataDxfId="232" dataCellStyle="Normal 3">
      <calculatedColumnFormula>Table3410111213181422[[#This Row],[  5-11]]-Table3410112[[#This Row],[  5-11]]</calculatedColumnFormula>
    </tableColumn>
    <tableColumn id="6" xr3:uid="{91291F8E-2F73-9744-8A18-DD338C79E896}" name="  12-17" dataDxfId="231" dataCellStyle="Normal 3">
      <calculatedColumnFormula>Table3410111213181422[[#This Row],[  12-17]]-Table3410112[[#This Row],[  12-17]]</calculatedColumnFormula>
    </tableColumn>
    <tableColumn id="7" xr3:uid="{A10F830D-5CF3-F94F-9540-8244DA8FC3B6}" name="  18-24" dataDxfId="230" dataCellStyle="Normal 3">
      <calculatedColumnFormula>Table3410111213181422[[#This Row],[  18-24]]-Table3410112[[#This Row],[  18-24]]</calculatedColumnFormula>
    </tableColumn>
    <tableColumn id="8" xr3:uid="{CC8F0382-6D57-024B-8191-07A7B074A5E5}" name="  25-29 " dataDxfId="229" dataCellStyle="Normal 3">
      <calculatedColumnFormula>Table3410111213181422[[#This Row],[  25-29 ]]-Table3410112[[#This Row],[  25-29 ]]</calculatedColumnFormula>
    </tableColumn>
    <tableColumn id="9" xr3:uid="{05C91BA4-1DDA-254B-A4D9-BFD72DD42597}" name="  30-34" dataDxfId="228" dataCellStyle="Normal 3">
      <calculatedColumnFormula>Table3410111213181422[[#This Row],[  30-34]]-Table3410112[[#This Row],[  30-34]]</calculatedColumnFormula>
    </tableColumn>
    <tableColumn id="10" xr3:uid="{2480E8C8-DC8F-154C-B500-B55DCB06204C}" name="  35-39" dataDxfId="227" dataCellStyle="Normal 3">
      <calculatedColumnFormula>Table3410111213181422[[#This Row],[  35-39]]-Table3410112[[#This Row],[  35-39]]</calculatedColumnFormula>
    </tableColumn>
    <tableColumn id="11" xr3:uid="{4A853DC9-5885-734E-85BC-1977793A5A1A}" name="  40-44" dataDxfId="226" dataCellStyle="Normal 3">
      <calculatedColumnFormula>Table3410111213181422[[#This Row],[  40-44]]-Table3410112[[#This Row],[  40-44]]</calculatedColumnFormula>
    </tableColumn>
    <tableColumn id="12" xr3:uid="{2D599C8A-6AF7-B243-B502-19FB36CD9E94}" name="  45-49 " dataDxfId="225" dataCellStyle="Normal 3">
      <calculatedColumnFormula>Table3410111213181422[[#This Row],[  45-49 ]]-Table3410112[[#This Row],[  45-49 ]]</calculatedColumnFormula>
    </tableColumn>
    <tableColumn id="13" xr3:uid="{7B404811-329B-154D-A4EC-9BE9AD33DCE9}" name="  50-54" dataDxfId="224" dataCellStyle="Normal 3">
      <calculatedColumnFormula>Table3410111213181422[[#This Row],[  50-54]]-Table3410112[[#This Row],[  50-54]]</calculatedColumnFormula>
    </tableColumn>
    <tableColumn id="14" xr3:uid="{F6C05515-46C3-7344-8A50-E00DFF04F20C}" name="  55-59" dataDxfId="223" dataCellStyle="Normal 3">
      <calculatedColumnFormula>Table3410111213181422[[#This Row],[  55-59]]-Table3410112[[#This Row],[  55-59]]</calculatedColumnFormula>
    </tableColumn>
    <tableColumn id="15" xr3:uid="{0BB193B7-A72B-7F45-B6AE-DC1C59D6CD20}" name="  60-64" dataDxfId="222" dataCellStyle="Normal 3">
      <calculatedColumnFormula>Table3410111213181422[[#This Row],[  60-64]]-Table3410112[[#This Row],[  60-64]]</calculatedColumnFormula>
    </tableColumn>
    <tableColumn id="16" xr3:uid="{A419093B-8AB2-4546-AC49-8FF72630BE33}" name="  65-69" dataDxfId="221" dataCellStyle="Normal 3">
      <calculatedColumnFormula>Table3410111213181422[[#This Row],[  65-69]]-Table3410112[[#This Row],[  65-69]]</calculatedColumnFormula>
    </tableColumn>
    <tableColumn id="17" xr3:uid="{CEFF12C3-D796-1949-B323-76675BC96CB1}" name="  70-74" dataDxfId="220" dataCellStyle="Normal 3">
      <calculatedColumnFormula>Table3410111213181422[[#This Row],[  70-74]]-Table3410112[[#This Row],[  70-74]]</calculatedColumnFormula>
    </tableColumn>
    <tableColumn id="18" xr3:uid="{C3AB37B3-CD26-6941-B27C-835B48C3A092}" name="  75-79" dataDxfId="219" dataCellStyle="Normal 3">
      <calculatedColumnFormula>Table3410111213181422[[#This Row],[  75-79]]-Table3410112[[#This Row],[  75-79]]</calculatedColumnFormula>
    </tableColumn>
    <tableColumn id="19" xr3:uid="{B0F55DF1-56DD-BD4C-827C-14C226AA2F64}" name="  80-84" dataDxfId="218" dataCellStyle="Normal 3">
      <calculatedColumnFormula>Table3410111213181422[[#This Row],[  80-84]]-Table3410112[[#This Row],[  80-84]]</calculatedColumnFormula>
    </tableColumn>
    <tableColumn id="20" xr3:uid="{D7B5A92C-E5AD-1744-90A7-09856BD6E627}" name="  85-89" dataDxfId="217" dataCellStyle="Normal 3">
      <calculatedColumnFormula>Table3410111213181422[[#This Row],[  85-89]]-Table3410112[[#This Row],[  85-89]]</calculatedColumnFormula>
    </tableColumn>
    <tableColumn id="21" xr3:uid="{68BF0F04-2A88-5946-9F6A-A52D0B1E828E}" name="  90+" dataDxfId="216" dataCellStyle="Normal 3">
      <calculatedColumnFormula>Table3410111213181422[[#This Row],[  90+]]-Table3410112[[#This Row],[  90+]]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F2F6C5-C4A9-2F4B-A55A-B2F201F5A90D}" name="MāoriHSUDHBPop5" displayName="MāoriHSUDHBPop5" ref="A4:U70" totalsRowShown="0" headerRowDxfId="215" dataCellStyle="Normal 2">
  <autoFilter ref="A4:U70" xr:uid="{9AF2F6C5-C4A9-2F4B-A55A-B2F201F5A90D}"/>
  <tableColumns count="21">
    <tableColumn id="1" xr3:uid="{EB40D767-9ADB-B44C-B01C-4F80C21750E7}" name="Gender" dataDxfId="214"/>
    <tableColumn id="2" xr3:uid="{F21D4FAA-C3CD-9C4F-BFB5-144FF132107E}" name="DHB" dataDxfId="213"/>
    <tableColumn id="3" xr3:uid="{764CDF17-0AA7-E648-BB16-AAEBD2315B22}" name="Total people (5+)" dataDxfId="212" dataCellStyle="Normal 2"/>
    <tableColumn id="4" xr3:uid="{F0F4AD41-9E44-4A43-93E4-3966A9ADB998}" name="  0-4 Years" dataDxfId="211" dataCellStyle="Normal 2"/>
    <tableColumn id="5" xr3:uid="{103E9EDA-86DC-5541-941E-86B67C3E9B10}" name="  5-11 Years" dataDxfId="210" dataCellStyle="Normal 2"/>
    <tableColumn id="6" xr3:uid="{9D356A60-7372-4E4F-B035-EADB40BE664B}" name="  12-17 Years" dataDxfId="209" dataCellStyle="Normal 2"/>
    <tableColumn id="7" xr3:uid="{E4653AA4-D34C-A044-897B-746645D9AC22}" name="  18-24 Years" dataDxfId="208" dataCellStyle="Normal 2"/>
    <tableColumn id="9" xr3:uid="{6CC3AEAA-6902-E942-B7F3-F9912CC74C47}" name="  25-29 Years" dataDxfId="207" dataCellStyle="Normal 2"/>
    <tableColumn id="10" xr3:uid="{907BAF1B-2008-C94E-99AC-CCB591FD058F}" name="  30-34 Years" dataDxfId="206" dataCellStyle="Normal 2"/>
    <tableColumn id="11" xr3:uid="{30C7E8B8-715E-4F4A-B2D8-F2DC4D2A7806}" name="  35-39 Years" dataDxfId="205" dataCellStyle="Normal 2"/>
    <tableColumn id="12" xr3:uid="{72221955-F344-A048-A6CB-2CEAD61F30B8}" name="  40-44 Years" dataDxfId="204" dataCellStyle="Normal 2"/>
    <tableColumn id="13" xr3:uid="{7B236AE7-63E1-754A-B7F1-FBB111D34DBF}" name="  45-49 Years" dataDxfId="203" dataCellStyle="Normal 2"/>
    <tableColumn id="14" xr3:uid="{77DCBDA4-274F-6C43-93DD-46ACC8104BBA}" name="  50-54 Years" dataDxfId="202" dataCellStyle="Normal 2"/>
    <tableColumn id="15" xr3:uid="{AAE182A8-F1AA-4047-9626-F628FCC97131}" name="  55-59 Years" dataDxfId="201" dataCellStyle="Normal 2"/>
    <tableColumn id="16" xr3:uid="{9FC1A960-3E29-D640-9CEC-EC568153A12C}" name="  60-64 Years" dataDxfId="200" dataCellStyle="Normal 2"/>
    <tableColumn id="17" xr3:uid="{F8A88B04-920F-3447-9DEF-2E292D24B053}" name="  65-69 Years" dataDxfId="199" dataCellStyle="Normal 2"/>
    <tableColumn id="18" xr3:uid="{BE5B3988-46B9-574E-9E9B-89A2E8E86BC6}" name="  70-74 Years" dataDxfId="198" dataCellStyle="Normal 2"/>
    <tableColumn id="19" xr3:uid="{B5053FCB-E87C-E241-BF74-243BCB754323}" name="  75-79 Years" dataDxfId="197" dataCellStyle="Normal 2"/>
    <tableColumn id="20" xr3:uid="{BE0DC14A-1893-9749-B32D-F91E9726A7CD}" name="  80-84 Years" dataDxfId="196" dataCellStyle="Normal 2"/>
    <tableColumn id="21" xr3:uid="{B57606BA-464E-8C46-8CD8-D9891C2ADDC1}" name="  85-89 Years" dataDxfId="195" dataCellStyle="Normal 2"/>
    <tableColumn id="22" xr3:uid="{912DDFC8-E2CB-5444-A883-6056F5A5F7B1}" name="  90 Years and over" dataCellStyle="Normal 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72AF2A-D5D4-3E49-8B36-4098B34E4C8A}" name="AllHSUDHBPop5" displayName="AllHSUDHBPop5" ref="A81:U147" totalsRowShown="0" headerRowDxfId="194" dataCellStyle="Normal 2">
  <autoFilter ref="A81:U147" xr:uid="{4A72AF2A-D5D4-3E49-8B36-4098B34E4C8A}"/>
  <tableColumns count="21">
    <tableColumn id="1" xr3:uid="{9068DE08-7B33-8E41-9DE0-73932C288772}" name="Gender" dataDxfId="193"/>
    <tableColumn id="2" xr3:uid="{4F93DDC2-0802-4144-8561-DFA61B30E9DD}" name="DHB" dataDxfId="192"/>
    <tableColumn id="3" xr3:uid="{016A2938-8B50-F74E-BDB3-E90AF1E584FC}" name="Total people (5+)" dataDxfId="191" dataCellStyle="Normal 2"/>
    <tableColumn id="4" xr3:uid="{80AD6084-C0B4-3E45-81E2-CD80F9407CE5}" name="  0-4 Years" dataDxfId="190" dataCellStyle="Normal 2"/>
    <tableColumn id="5" xr3:uid="{1E96EBBD-185A-634A-A7FB-D9B466F88AAE}" name="  5-11 Years" dataDxfId="189" dataCellStyle="Normal 2"/>
    <tableColumn id="6" xr3:uid="{E321F6DC-41F6-6B40-B821-ACE9C9BADB86}" name="  12-17 Years" dataDxfId="188" dataCellStyle="Normal 2"/>
    <tableColumn id="7" xr3:uid="{F4F6874F-1559-8346-9A8F-82A331078D87}" name="  18-24 Years" dataDxfId="187" dataCellStyle="Normal 2"/>
    <tableColumn id="9" xr3:uid="{20B29BBC-68C7-5D49-8307-A4CEF0DE7135}" name="  25-29 Years" dataDxfId="186" dataCellStyle="Normal 2"/>
    <tableColumn id="10" xr3:uid="{C1FB15A4-8830-E249-B7B0-C84ED067D9B8}" name="  30-34 Years" dataDxfId="185" dataCellStyle="Normal 2"/>
    <tableColumn id="11" xr3:uid="{85F25896-37B3-5447-90F6-C9C4726F802B}" name="  35-39 Years" dataDxfId="184" dataCellStyle="Normal 2"/>
    <tableColumn id="12" xr3:uid="{9FF5A464-53AF-0D48-B20D-733DE03725AB}" name="  40-44 Years" dataDxfId="183" dataCellStyle="Normal 2"/>
    <tableColumn id="13" xr3:uid="{71A66A73-D373-4B40-ADBA-69B9FE2B25DC}" name="  45-49 Years" dataDxfId="182" dataCellStyle="Normal 2"/>
    <tableColumn id="14" xr3:uid="{1B74FA70-BCDA-424D-99DB-E25F3034BC1A}" name="  50-54 Years" dataDxfId="181" dataCellStyle="Normal 2"/>
    <tableColumn id="15" xr3:uid="{4BCDBBCB-4F8D-9D4D-A97A-0FFC1AC36E88}" name="  55-59 Years" dataDxfId="180" dataCellStyle="Normal 2"/>
    <tableColumn id="16" xr3:uid="{A4960C57-1545-DA42-96D3-0669B7B7663A}" name="  60-64 Years" dataDxfId="179" dataCellStyle="Normal 2"/>
    <tableColumn id="17" xr3:uid="{0A3C8B52-0EB0-1740-BAD8-E935D3DB2685}" name="  65-69 Years" dataDxfId="178" dataCellStyle="Normal 2"/>
    <tableColumn id="18" xr3:uid="{AF1791F8-53C4-D746-B4F9-F8BC257FB1B0}" name="  70-74 Years" dataDxfId="177" dataCellStyle="Normal 2"/>
    <tableColumn id="19" xr3:uid="{5CBB7FDF-1E7F-564D-9705-C486E054273B}" name="  75-79 Years" dataDxfId="176" dataCellStyle="Normal 2"/>
    <tableColumn id="20" xr3:uid="{147EE492-E477-C645-B53D-073F8683356E}" name="  80-84 Years" dataDxfId="175" dataCellStyle="Normal 2"/>
    <tableColumn id="21" xr3:uid="{36E61FB1-9A1F-4846-832E-7FF6DACFA041}" name="  85-89 Years" dataDxfId="174" dataCellStyle="Normal 2"/>
    <tableColumn id="22" xr3:uid="{53EAE6B0-7197-B747-89F1-AF7569FBDEA0}" name="  90 Years and over" dataCellStyle="Normal 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25BD10-259C-2C48-979F-FF28D65DDC3E}" name="Table341011121318141516" displayName="Table341011121318141516" ref="A1:T67" totalsRowShown="0" headerRowDxfId="173" dataDxfId="172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CA1F6E0-DF12-8E47-A723-4E8A55CD3777}" name="DHB" dataDxfId="171"/>
    <tableColumn id="2" xr3:uid="{463E5A98-477A-C742-A1F2-19C2D1E6744B}" name="Group" dataDxfId="170"/>
    <tableColumn id="3" xr3:uid="{7B0451AA-2FDB-664A-AF7D-94C008010BFB}" name="Total" dataDxfId="169">
      <calculatedColumnFormula>SUM(Table341011121318141516[[#This Row],[  5-11]:[  90+]])</calculatedColumnFormula>
    </tableColumn>
    <tableColumn id="5" xr3:uid="{97854270-FC1B-9D4B-80BF-13143A2B3EAD}" name="  5-11" dataDxfId="168" dataCellStyle="Normal 3"/>
    <tableColumn id="6" xr3:uid="{C97E8B03-DFD0-9C4D-A6D1-6EB82FD8DA1B}" name="  12-17" dataDxfId="167" dataCellStyle="Normal 3"/>
    <tableColumn id="7" xr3:uid="{DE494A36-BEF7-1E40-B92E-080F97B450F0}" name="  18-24" dataDxfId="166" dataCellStyle="Normal 3"/>
    <tableColumn id="8" xr3:uid="{26A554AD-4947-1648-8E76-BC96597B4188}" name="  25-29 " dataDxfId="165" dataCellStyle="Normal 3"/>
    <tableColumn id="9" xr3:uid="{CA320C33-808C-C54E-A194-BA6870E4ECDD}" name="  30-34" dataDxfId="164" dataCellStyle="Normal 3"/>
    <tableColumn id="10" xr3:uid="{1851FF7B-669E-6942-8511-12E8176D1C6B}" name="  35-39" dataDxfId="163" dataCellStyle="Normal 3"/>
    <tableColumn id="11" xr3:uid="{9E6C61F1-843A-1A47-AC1B-28B913E171E3}" name="  40-44" dataDxfId="162" dataCellStyle="Normal 3"/>
    <tableColumn id="12" xr3:uid="{4D432B39-2DD7-6240-BAC0-868B8F3B2F1F}" name="  45-49 " dataDxfId="161" dataCellStyle="Normal 3"/>
    <tableColumn id="13" xr3:uid="{5CDF0962-C5BF-D847-87C2-472E14D05A60}" name="  50-54" dataDxfId="160" dataCellStyle="Normal 3"/>
    <tableColumn id="14" xr3:uid="{97D58771-F3F2-EF43-A427-5B7FA6F635DD}" name="  55-59" dataDxfId="159" dataCellStyle="Normal 3"/>
    <tableColumn id="15" xr3:uid="{1E77FC77-650A-E54F-B6C8-D752804FF9B1}" name="  60-64" dataDxfId="158" dataCellStyle="Normal 3"/>
    <tableColumn id="16" xr3:uid="{C8471DF8-C4CA-EF44-8958-AA385EFED3BE}" name="  65-69" dataDxfId="157" dataCellStyle="Normal 3"/>
    <tableColumn id="17" xr3:uid="{4DACCDB3-E9FA-CB4D-9DA8-347646F382DA}" name="  70-74" dataDxfId="156" dataCellStyle="Normal 3"/>
    <tableColumn id="18" xr3:uid="{011035F7-81ED-EA4A-B3EB-FB6A0DA84571}" name="  75-79" dataDxfId="155" dataCellStyle="Normal 3"/>
    <tableColumn id="19" xr3:uid="{D7C5200F-054A-5849-A4F4-897F3E7ABF55}" name="  80-84" dataDxfId="154" dataCellStyle="Normal 3"/>
    <tableColumn id="20" xr3:uid="{69A44D5E-9501-B84B-82BA-43C29A96C1A8}" name="  85-89" dataDxfId="153" dataCellStyle="Normal 3"/>
    <tableColumn id="21" xr3:uid="{B67B3A1B-69F6-1947-A4DD-E3283512C9BF}" name="  90+" dataDxfId="152" dataCellStyle="Normal 3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C08DA9-D0B3-C445-9400-07E819049E9A}" name="Table3410111213181415" displayName="Table3410111213181415" ref="A1:T67" totalsRowShown="0" headerRowDxfId="151" dataDxfId="150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5FC252D-463C-7741-BE1D-E442931E656E}" name="DHB" dataDxfId="149"/>
    <tableColumn id="2" xr3:uid="{51CCC094-7BB2-264E-8F3A-63FE08FE823A}" name="Group" dataDxfId="148"/>
    <tableColumn id="3" xr3:uid="{BB55BEC9-E8E8-9244-9728-664E2943ADA8}" name="Total" dataDxfId="147">
      <calculatedColumnFormula>SUM(Table3410111213181415[[#This Row],[  5-11]:[  90+]])</calculatedColumnFormula>
    </tableColumn>
    <tableColumn id="5" xr3:uid="{3F0ACCBE-4151-604D-A6EA-F296EF6960C3}" name="  5-11" dataDxfId="146" dataCellStyle="Normal 3"/>
    <tableColumn id="6" xr3:uid="{D22EBE0D-972C-6942-9D04-09E3D8DC9309}" name="  12-17" dataDxfId="145" dataCellStyle="Normal 3"/>
    <tableColumn id="7" xr3:uid="{F0ACA70B-B01D-4E42-ACC3-6D19FAD41669}" name="  18-24" dataDxfId="144" dataCellStyle="Normal 3"/>
    <tableColumn id="8" xr3:uid="{1A3B17E5-3366-8349-8E21-E14E7EE91827}" name="  25-29 " dataDxfId="143" dataCellStyle="Normal 3"/>
    <tableColumn id="9" xr3:uid="{6E3887C1-C5ED-4641-A9A3-A21DD2EABCD9}" name="  30-34" dataDxfId="142" dataCellStyle="Normal 3"/>
    <tableColumn id="10" xr3:uid="{D7E917FE-8BC0-6940-89AD-7B78E8AF5E43}" name="  35-39" dataDxfId="141" dataCellStyle="Normal 3"/>
    <tableColumn id="11" xr3:uid="{EE5ECE1B-6742-9F44-A72D-E5B62AB6B6B9}" name="  40-44" dataDxfId="140" dataCellStyle="Normal 3"/>
    <tableColumn id="12" xr3:uid="{27CD5883-6CC0-F646-A378-7B315FB808CB}" name="  45-49 " dataDxfId="139" dataCellStyle="Normal 3"/>
    <tableColumn id="13" xr3:uid="{3D0C3859-4061-0243-BE97-06991C0DF632}" name="  50-54" dataDxfId="138" dataCellStyle="Normal 3"/>
    <tableColumn id="14" xr3:uid="{DCE04186-1569-AE4A-96A4-CEDCFFA098F7}" name="  55-59" dataDxfId="137" dataCellStyle="Normal 3"/>
    <tableColumn id="15" xr3:uid="{D7A8C506-6F8A-2249-B6CB-61F8964A6777}" name="  60-64" dataDxfId="136" dataCellStyle="Normal 3"/>
    <tableColumn id="16" xr3:uid="{3060AF5F-4595-D244-AE86-3EB6A717935D}" name="  65-69" dataDxfId="135" dataCellStyle="Normal 3"/>
    <tableColumn id="17" xr3:uid="{E20C1BA3-F0AE-AB4F-9021-92A406CB5CB9}" name="  70-74" dataDxfId="134" dataCellStyle="Normal 3"/>
    <tableColumn id="18" xr3:uid="{EE687DA3-FDDC-5C47-A02D-5FDA4552DB5B}" name="  75-79" dataDxfId="133" dataCellStyle="Normal 3"/>
    <tableColumn id="19" xr3:uid="{1F36732A-210C-C04E-99C2-63C78CFA3093}" name="  80-84" dataDxfId="132" dataCellStyle="Normal 3"/>
    <tableColumn id="20" xr3:uid="{7C4FE3CD-71BF-154A-8244-700341B2308B}" name="  85-89" dataDxfId="131" dataCellStyle="Normal 3"/>
    <tableColumn id="21" xr3:uid="{C594E1B3-1F6C-CA41-9F3A-201A8CA38A1A}" name="  90+" dataDxfId="130" dataCellStyle="Normal 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FCD900A-C888-0E42-81C3-D01425A10163}" name="Table34101112131814151623" displayName="Table34101112131814151623" ref="A1:T67" totalsRowShown="0" headerRowDxfId="129" dataDxfId="128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5BD067A3-E946-604D-A982-2D6A1F812284}" name="DHB" dataDxfId="127"/>
    <tableColumn id="2" xr3:uid="{BF76A573-0825-794B-B769-4CD8580E80E0}" name="Group" dataDxfId="126"/>
    <tableColumn id="3" xr3:uid="{FB08B862-3E21-2748-A960-91142947B8DC}" name="Total" dataDxfId="125">
      <calculatedColumnFormula>Table341011121318141516[[#This Row],[Total]]-Table3410111213181415[[#This Row],[Total]]</calculatedColumnFormula>
    </tableColumn>
    <tableColumn id="5" xr3:uid="{E15BD7CC-1A94-D34E-AD1A-C657DA366252}" name="  5-11" dataDxfId="124" dataCellStyle="Normal 3">
      <calculatedColumnFormula>Table341011121318141516[[#This Row],[  5-11]]-Table3410111213181415[[#This Row],[  5-11]]</calculatedColumnFormula>
    </tableColumn>
    <tableColumn id="6" xr3:uid="{E16FC894-0ADE-5544-8ED6-EABE8756E60D}" name="  12-17" dataDxfId="123" dataCellStyle="Normal 3">
      <calculatedColumnFormula>Table341011121318141516[[#This Row],[  12-17]]-Table3410111213181415[[#This Row],[  12-17]]</calculatedColumnFormula>
    </tableColumn>
    <tableColumn id="7" xr3:uid="{8D47F2CA-F572-2F4D-8EA2-C7FC23564A18}" name="  18-24" dataDxfId="122" dataCellStyle="Normal 3">
      <calculatedColumnFormula>Table341011121318141516[[#This Row],[  18-24]]-Table3410111213181415[[#This Row],[  18-24]]</calculatedColumnFormula>
    </tableColumn>
    <tableColumn id="8" xr3:uid="{39AD85CF-6D8F-114C-86AA-7981413F52E4}" name="  25-29 " dataDxfId="121" dataCellStyle="Normal 3">
      <calculatedColumnFormula>Table341011121318141516[[#This Row],[  25-29 ]]-Table3410111213181415[[#This Row],[  25-29 ]]</calculatedColumnFormula>
    </tableColumn>
    <tableColumn id="9" xr3:uid="{98B43E9B-EC26-CE48-8105-BF50513BDFB3}" name="  30-34" dataDxfId="120" dataCellStyle="Normal 3">
      <calculatedColumnFormula>Table341011121318141516[[#This Row],[  30-34]]-Table3410111213181415[[#This Row],[  30-34]]</calculatedColumnFormula>
    </tableColumn>
    <tableColumn id="10" xr3:uid="{791A51BA-CFC0-F14F-925B-5E0A26FF9F81}" name="  35-39" dataDxfId="119" dataCellStyle="Normal 3">
      <calculatedColumnFormula>Table341011121318141516[[#This Row],[  35-39]]-Table3410111213181415[[#This Row],[  35-39]]</calculatedColumnFormula>
    </tableColumn>
    <tableColumn id="11" xr3:uid="{44FAA662-8995-054E-A8A2-73714B5D4C4A}" name="  40-44" dataDxfId="118" dataCellStyle="Normal 3">
      <calculatedColumnFormula>Table341011121318141516[[#This Row],[  40-44]]-Table3410111213181415[[#This Row],[  40-44]]</calculatedColumnFormula>
    </tableColumn>
    <tableColumn id="12" xr3:uid="{80785094-2EA6-D240-85F3-48ACA10AE3F2}" name="  45-49 " dataDxfId="117" dataCellStyle="Normal 3">
      <calculatedColumnFormula>Table341011121318141516[[#This Row],[  45-49 ]]-Table3410111213181415[[#This Row],[  45-49 ]]</calculatedColumnFormula>
    </tableColumn>
    <tableColumn id="13" xr3:uid="{F116055E-F17F-BC43-8DE8-C469C2834CA8}" name="  50-54" dataDxfId="116" dataCellStyle="Normal 3">
      <calculatedColumnFormula>Table341011121318141516[[#This Row],[  50-54]]-Table3410111213181415[[#This Row],[  50-54]]</calculatedColumnFormula>
    </tableColumn>
    <tableColumn id="14" xr3:uid="{0E0ADEE0-AD20-4043-8962-BBA853C586D4}" name="  55-59" dataDxfId="115" dataCellStyle="Normal 3">
      <calculatedColumnFormula>Table341011121318141516[[#This Row],[  55-59]]-Table3410111213181415[[#This Row],[  55-59]]</calculatedColumnFormula>
    </tableColumn>
    <tableColumn id="15" xr3:uid="{3EFA9F11-0944-8E42-A96A-A52C4730E3C9}" name="  60-64" dataDxfId="114" dataCellStyle="Normal 3">
      <calculatedColumnFormula>Table341011121318141516[[#This Row],[  60-64]]-Table3410111213181415[[#This Row],[  60-64]]</calculatedColumnFormula>
    </tableColumn>
    <tableColumn id="16" xr3:uid="{2602BBC4-42DF-5942-BF31-B1CC3D601C96}" name="  65-69" dataDxfId="113" dataCellStyle="Normal 3">
      <calculatedColumnFormula>Table341011121318141516[[#This Row],[  65-69]]-Table3410111213181415[[#This Row],[  65-69]]</calculatedColumnFormula>
    </tableColumn>
    <tableColumn id="17" xr3:uid="{FA43074C-D7F6-A646-AC5A-48F682004017}" name="  70-74" dataDxfId="112" dataCellStyle="Normal 3">
      <calculatedColumnFormula>Table341011121318141516[[#This Row],[  70-74]]-Table3410111213181415[[#This Row],[  70-74]]</calculatedColumnFormula>
    </tableColumn>
    <tableColumn id="18" xr3:uid="{5212EBBF-ACF1-EF43-B020-08015DC1EF4D}" name="  75-79" dataDxfId="111" dataCellStyle="Normal 3">
      <calculatedColumnFormula>Table341011121318141516[[#This Row],[  75-79]]-Table3410111213181415[[#This Row],[  75-79]]</calculatedColumnFormula>
    </tableColumn>
    <tableColumn id="19" xr3:uid="{70502ACD-BAFB-0349-8163-2C3506058F68}" name="  80-84" dataDxfId="110" dataCellStyle="Normal 3">
      <calculatedColumnFormula>Table341011121318141516[[#This Row],[  80-84]]-Table3410111213181415[[#This Row],[  80-84]]</calculatedColumnFormula>
    </tableColumn>
    <tableColumn id="20" xr3:uid="{6C55B449-D075-B740-9B4A-CB6FFBC10DF6}" name="  85-89" dataDxfId="109" dataCellStyle="Normal 3">
      <calculatedColumnFormula>Table341011121318141516[[#This Row],[  85-89]]-Table3410111213181415[[#This Row],[  85-89]]</calculatedColumnFormula>
    </tableColumn>
    <tableColumn id="21" xr3:uid="{322D7305-A8E0-ED45-882C-AB8C7EBD1BA8}" name="  90+" dataDxfId="108" dataCellStyle="Normal 3">
      <calculatedColumnFormula>Table341011121318141516[[#This Row],[  90+]]-Table3410111213181415[[#This Row],[  90+]]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5698F3-4A6D-5345-8B99-BD3F076A37EC}" name="Table34101112131814151620" displayName="Table34101112131814151620" ref="A1:T67" totalsRowShown="0" headerRowDxfId="107" dataDxfId="10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94B7B230-9745-1741-B554-3CE700332C0C}" name="DHB" dataDxfId="105"/>
    <tableColumn id="2" xr3:uid="{4D2AAA33-D243-384B-9FCF-87E3D1C759D7}" name="Group" dataDxfId="104"/>
    <tableColumn id="3" xr3:uid="{1A5F15B8-FB33-DF45-8F88-E2024EBBEC54}" name="Total" dataDxfId="103">
      <calculatedColumnFormula>Table341011121318141516[[#This Row],[Total]]-Table341011[[#This Row],[Total]]</calculatedColumnFormula>
    </tableColumn>
    <tableColumn id="5" xr3:uid="{8AA2C83E-89ED-A843-B4A6-A45618884DD2}" name="  5-11" dataDxfId="102" dataCellStyle="Normal 3">
      <calculatedColumnFormula>Table341011121318141516[[#This Row],[  5-11]]-Table341011[[#This Row],[  5-11]]</calculatedColumnFormula>
    </tableColumn>
    <tableColumn id="6" xr3:uid="{4B23E43D-69FA-A44B-9AF9-981CF47FDAF2}" name="  12-17" dataDxfId="101" dataCellStyle="Normal 3">
      <calculatedColumnFormula>Table341011121318141516[[#This Row],[  12-17]]-Table341011[[#This Row],[  12-17]]</calculatedColumnFormula>
    </tableColumn>
    <tableColumn id="7" xr3:uid="{1506D0CE-1513-1641-8A59-38FE32F4C4BA}" name="  18-24" dataDxfId="100" dataCellStyle="Normal 3">
      <calculatedColumnFormula>Table341011121318141516[[#This Row],[  18-24]]-Table341011[[#This Row],[  18-24]]</calculatedColumnFormula>
    </tableColumn>
    <tableColumn id="8" xr3:uid="{9CC48841-0AAD-7A4A-8C10-D17A232D6F8D}" name="  25-29 " dataDxfId="99" dataCellStyle="Normal 3">
      <calculatedColumnFormula>Table341011121318141516[[#This Row],[  25-29 ]]-Table341011[[#This Row],[  25-29 ]]</calculatedColumnFormula>
    </tableColumn>
    <tableColumn id="9" xr3:uid="{F88DFC29-2E50-1047-AFAB-D1C3A163AB9B}" name="  30-34" dataDxfId="98" dataCellStyle="Normal 3">
      <calculatedColumnFormula>Table341011121318141516[[#This Row],[  30-34]]-Table341011[[#This Row],[  30-34]]</calculatedColumnFormula>
    </tableColumn>
    <tableColumn id="10" xr3:uid="{BBEE1541-DF2B-A24C-8553-9BF392AF1302}" name="  35-39" dataDxfId="97" dataCellStyle="Normal 3">
      <calculatedColumnFormula>Table341011121318141516[[#This Row],[  35-39]]-Table341011[[#This Row],[  35-39]]</calculatedColumnFormula>
    </tableColumn>
    <tableColumn id="11" xr3:uid="{84EF6C48-D91C-AF4F-9934-6FD1F7EE36D1}" name="  40-44" dataDxfId="96" dataCellStyle="Normal 3">
      <calculatedColumnFormula>Table341011121318141516[[#This Row],[  40-44]]-Table341011[[#This Row],[  40-44]]</calculatedColumnFormula>
    </tableColumn>
    <tableColumn id="12" xr3:uid="{8A18D29E-30EE-8949-806A-D24E47D69CF6}" name="  45-49 " dataDxfId="95" dataCellStyle="Normal 3">
      <calculatedColumnFormula>Table341011121318141516[[#This Row],[  45-49 ]]-Table341011[[#This Row],[  45-49 ]]</calculatedColumnFormula>
    </tableColumn>
    <tableColumn id="13" xr3:uid="{B0D1E160-9A0A-0A43-9F63-54FD56DB2CF7}" name="  50-54" dataDxfId="94" dataCellStyle="Normal 3">
      <calculatedColumnFormula>Table341011121318141516[[#This Row],[  50-54]]-Table341011[[#This Row],[  50-54]]</calculatedColumnFormula>
    </tableColumn>
    <tableColumn id="14" xr3:uid="{9F357305-EC20-4C4F-AB07-9B616D39A866}" name="  55-59" dataDxfId="93" dataCellStyle="Normal 3">
      <calculatedColumnFormula>Table341011121318141516[[#This Row],[  55-59]]-Table341011[[#This Row],[  55-59]]</calculatedColumnFormula>
    </tableColumn>
    <tableColumn id="15" xr3:uid="{733D1AF6-2EF9-CB45-A805-1248AC558E76}" name="  60-64" dataDxfId="92" dataCellStyle="Normal 3">
      <calculatedColumnFormula>Table341011121318141516[[#This Row],[  60-64]]-Table341011[[#This Row],[  60-64]]</calculatedColumnFormula>
    </tableColumn>
    <tableColumn id="16" xr3:uid="{1E3EA52A-6307-D74F-A868-1EB9E0F29219}" name="  65-69" dataDxfId="91" dataCellStyle="Normal 3">
      <calculatedColumnFormula>Table341011121318141516[[#This Row],[  65-69]]-Table341011[[#This Row],[  65-69]]</calculatedColumnFormula>
    </tableColumn>
    <tableColumn id="17" xr3:uid="{9CE0A33F-7DBF-224B-BBD7-A5FF4D6DDE22}" name="  70-74" dataDxfId="90" dataCellStyle="Normal 3">
      <calculatedColumnFormula>Table341011121318141516[[#This Row],[  70-74]]-Table341011[[#This Row],[  70-74]]</calculatedColumnFormula>
    </tableColumn>
    <tableColumn id="18" xr3:uid="{E0E55223-6F5C-8B47-B690-99EE4034237B}" name="  75-79" dataDxfId="89" dataCellStyle="Normal 3">
      <calculatedColumnFormula>Table341011121318141516[[#This Row],[  75-79]]-Table341011[[#This Row],[  75-79]]</calculatedColumnFormula>
    </tableColumn>
    <tableColumn id="19" xr3:uid="{86608CF7-A465-FD4F-A50C-C05DD18BD151}" name="  80-84" dataDxfId="88" dataCellStyle="Normal 3">
      <calculatedColumnFormula>Table341011121318141516[[#This Row],[  80-84]]-Table341011[[#This Row],[  80-84]]</calculatedColumnFormula>
    </tableColumn>
    <tableColumn id="20" xr3:uid="{273B959C-19AC-C34E-9533-74E540625BAD}" name="  85-89" dataDxfId="87" dataCellStyle="Normal 3">
      <calculatedColumnFormula>Table341011121318141516[[#This Row],[  85-89]]-Table341011[[#This Row],[  85-89]]</calculatedColumnFormula>
    </tableColumn>
    <tableColumn id="21" xr3:uid="{BA77CB69-C65F-3D4B-BAF2-A518A0B93D8A}" name="  90+" dataDxfId="86" dataCellStyle="Normal 3">
      <calculatedColumnFormula>Table341011121318141516[[#This Row],[  90+]]-Table341011[[#This Row],[  90+]]</calculatedColumnFormula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CB3EDED-DECE-EA40-A67F-BEDD31540445}" name="Table341011121318141521" displayName="Table341011121318141521" ref="A1:T67" totalsRowShown="0" headerRowDxfId="85" dataDxfId="84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B4E7E770-50BD-C144-A0B9-0AC777173965}" name="DHB" dataDxfId="83"/>
    <tableColumn id="2" xr3:uid="{E7D551E2-522E-8042-A93D-F96C95060323}" name="Group" dataDxfId="82"/>
    <tableColumn id="3" xr3:uid="{49B975E7-8C00-954B-80A1-282E608A0603}" name="Total" dataDxfId="81">
      <calculatedColumnFormula>Table3410111213181415[[#This Row],[Total]]-Table3410111213[[#This Row],[Total]]</calculatedColumnFormula>
    </tableColumn>
    <tableColumn id="5" xr3:uid="{B04E463B-D0B8-3343-8814-8A68DD64E738}" name="  5-11" dataDxfId="80" dataCellStyle="Normal 3">
      <calculatedColumnFormula>Table3410111213181415[[#This Row],[  5-11]]-Table3410111213[[#This Row],[  5-11]]</calculatedColumnFormula>
    </tableColumn>
    <tableColumn id="6" xr3:uid="{D6CE193F-09DE-CD4E-B3F2-C66DD8D5639B}" name="  12-17" dataDxfId="79" dataCellStyle="Normal 3">
      <calculatedColumnFormula>Table3410111213181415[[#This Row],[  12-17]]-Table3410111213[[#This Row],[  12-17]]</calculatedColumnFormula>
    </tableColumn>
    <tableColumn id="7" xr3:uid="{4AED5E40-B651-FC44-8F82-F97BFC0EED1C}" name="  18-24" dataDxfId="78" dataCellStyle="Normal 3">
      <calculatedColumnFormula>Table3410111213181415[[#This Row],[  18-24]]-Table3410111213[[#This Row],[  18-24]]</calculatedColumnFormula>
    </tableColumn>
    <tableColumn id="8" xr3:uid="{58DC8C22-E126-B647-BE67-A8F5BD98E263}" name="  25-29 " dataDxfId="77" dataCellStyle="Normal 3">
      <calculatedColumnFormula>Table3410111213181415[[#This Row],[  25-29 ]]-Table3410111213[[#This Row],[  25-29 ]]</calculatedColumnFormula>
    </tableColumn>
    <tableColumn id="9" xr3:uid="{D25EEE21-2B89-4D47-A5DB-03871A5D998C}" name="  30-34" dataDxfId="76" dataCellStyle="Normal 3">
      <calculatedColumnFormula>Table3410111213181415[[#This Row],[  30-34]]-Table3410111213[[#This Row],[  30-34]]</calculatedColumnFormula>
    </tableColumn>
    <tableColumn id="10" xr3:uid="{ADB643A3-6B3D-A24E-B197-8C588F9EFC8A}" name="  35-39" dataDxfId="75" dataCellStyle="Normal 3">
      <calculatedColumnFormula>Table3410111213181415[[#This Row],[  35-39]]-Table3410111213[[#This Row],[  35-39]]</calculatedColumnFormula>
    </tableColumn>
    <tableColumn id="11" xr3:uid="{286D0A30-9964-E743-801C-58831B3ED207}" name="  40-44" dataDxfId="74" dataCellStyle="Normal 3">
      <calculatedColumnFormula>Table3410111213181415[[#This Row],[  40-44]]-Table3410111213[[#This Row],[  40-44]]</calculatedColumnFormula>
    </tableColumn>
    <tableColumn id="12" xr3:uid="{968E365B-49DD-D448-984A-207A6F876234}" name="  45-49 " dataDxfId="73" dataCellStyle="Normal 3">
      <calculatedColumnFormula>Table3410111213181415[[#This Row],[  45-49 ]]-Table3410111213[[#This Row],[  45-49 ]]</calculatedColumnFormula>
    </tableColumn>
    <tableColumn id="13" xr3:uid="{D10D5D7A-C38B-CD46-AB9A-C8C370A83749}" name="  50-54" dataDxfId="72" dataCellStyle="Normal 3">
      <calculatedColumnFormula>Table3410111213181415[[#This Row],[  50-54]]-Table3410111213[[#This Row],[  50-54]]</calculatedColumnFormula>
    </tableColumn>
    <tableColumn id="14" xr3:uid="{746183E2-2DFF-2344-8F58-3302D5E8FCD6}" name="  55-59" dataDxfId="71" dataCellStyle="Normal 3">
      <calculatedColumnFormula>Table3410111213181415[[#This Row],[  55-59]]-Table3410111213[[#This Row],[  55-59]]</calculatedColumnFormula>
    </tableColumn>
    <tableColumn id="15" xr3:uid="{1D63F03E-150D-7145-BF87-5B7EBCC5F1DD}" name="  60-64" dataDxfId="70" dataCellStyle="Normal 3">
      <calculatedColumnFormula>Table3410111213181415[[#This Row],[  60-64]]-Table3410111213[[#This Row],[  60-64]]</calculatedColumnFormula>
    </tableColumn>
    <tableColumn id="16" xr3:uid="{109D8019-FA21-EA45-9F3B-04D8DD6E96B4}" name="  65-69" dataDxfId="69" dataCellStyle="Normal 3">
      <calculatedColumnFormula>Table3410111213181415[[#This Row],[  65-69]]-Table3410111213[[#This Row],[  65-69]]</calculatedColumnFormula>
    </tableColumn>
    <tableColumn id="17" xr3:uid="{7B2561E9-9AFC-D04A-9025-F77BA17ACCCE}" name="  70-74" dataDxfId="68" dataCellStyle="Normal 3">
      <calculatedColumnFormula>Table3410111213181415[[#This Row],[  70-74]]-Table3410111213[[#This Row],[  70-74]]</calculatedColumnFormula>
    </tableColumn>
    <tableColumn id="18" xr3:uid="{363175A6-EA1C-2845-B006-BC00738E5501}" name="  75-79" dataDxfId="67" dataCellStyle="Normal 3">
      <calculatedColumnFormula>Table3410111213181415[[#This Row],[  75-79]]-Table3410111213[[#This Row],[  75-79]]</calculatedColumnFormula>
    </tableColumn>
    <tableColumn id="19" xr3:uid="{75113F4E-0AD0-A048-914F-24B20D02F137}" name="  80-84" dataDxfId="66" dataCellStyle="Normal 3">
      <calculatedColumnFormula>Table3410111213181415[[#This Row],[  80-84]]-Table3410111213[[#This Row],[  80-84]]</calculatedColumnFormula>
    </tableColumn>
    <tableColumn id="20" xr3:uid="{EC64C20F-C2E6-1140-9444-43AABC8BAE95}" name="  85-89" dataDxfId="65" dataCellStyle="Normal 3">
      <calculatedColumnFormula>Table3410111213181415[[#This Row],[  85-89]]-Table3410111213[[#This Row],[  85-89]]</calculatedColumnFormula>
    </tableColumn>
    <tableColumn id="21" xr3:uid="{C2448730-173D-F048-862C-BCF32D28608B}" name="  90+" dataDxfId="64" dataCellStyle="Normal 3">
      <calculatedColumnFormula>Table3410111213181415[[#This Row],[  90+]]-Table3410111213[[#This Row],[  90+]]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325938-8894-C743-B2B0-1F7CB76AEB07}" name="Table3410111213" displayName="Table3410111213" ref="A1:T67" totalsRowShown="0" headerRowDxfId="457" dataDxfId="45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ECF0D542-D54A-894C-BA31-79235079EFB6}" name="DHB" dataDxfId="455"/>
    <tableColumn id="2" xr3:uid="{35233512-1035-B342-8E23-455EFE6C4DC9}" name="Group" dataDxfId="454"/>
    <tableColumn id="3" xr3:uid="{32D55A23-3D1C-BE4C-8633-17756666F579}" name="Total" dataDxfId="453"/>
    <tableColumn id="5" xr3:uid="{2D214E37-D239-404F-944B-C49FC80D6DCA}" name="  5-11" dataDxfId="452"/>
    <tableColumn id="6" xr3:uid="{6E71CCA5-B8D3-F74C-88DA-197C303934F2}" name="  12-17" dataDxfId="451"/>
    <tableColumn id="7" xr3:uid="{E7503003-2F7D-964D-9A22-6B2FD7A0B3F3}" name="  18-24" dataDxfId="450"/>
    <tableColumn id="8" xr3:uid="{AF36E0FE-0667-4441-A03D-192E88D27CE2}" name="  25-29 " dataDxfId="449"/>
    <tableColumn id="9" xr3:uid="{E2CF612F-27C0-6140-B435-D985F15971C7}" name="  30-34" dataDxfId="448"/>
    <tableColumn id="10" xr3:uid="{9033B7EA-26F0-6D46-BEC0-752317886105}" name="  35-39" dataDxfId="447"/>
    <tableColumn id="11" xr3:uid="{0BC9A475-7056-0F40-8F97-48C1A32813C1}" name="  40-44" dataDxfId="446"/>
    <tableColumn id="12" xr3:uid="{7345C94E-F899-4F46-B4FC-A7D026D3EE7B}" name="  45-49 " dataDxfId="445"/>
    <tableColumn id="13" xr3:uid="{0850FC96-5905-6841-8338-CB4DB798B361}" name="  50-54" dataDxfId="444"/>
    <tableColumn id="14" xr3:uid="{1280E267-10FC-EE41-87BC-170802E0B39D}" name="  55-59" dataDxfId="443"/>
    <tableColumn id="15" xr3:uid="{E61DBA64-528F-1E4F-8BE2-512C8A3F9036}" name="  60-64" dataDxfId="442"/>
    <tableColumn id="16" xr3:uid="{6634A0C5-3C46-E548-8F53-872E7B631E3E}" name="  65-69" dataDxfId="441"/>
    <tableColumn id="17" xr3:uid="{54BE3AB6-5F03-7D42-BB83-EE72D62CA8CF}" name="  70-74" dataDxfId="440"/>
    <tableColumn id="18" xr3:uid="{C5BF9881-6B93-0649-A0E3-8AE87CC6D847}" name="  75-79" dataDxfId="439"/>
    <tableColumn id="19" xr3:uid="{2E6724F3-7AC6-AF44-9520-6368B67AE0D4}" name="  80-84" dataDxfId="438"/>
    <tableColumn id="20" xr3:uid="{5076B344-D0BA-F447-918D-28ADB85CB682}" name="  85-89" dataDxfId="437"/>
    <tableColumn id="21" xr3:uid="{FF2B7AA8-D3FA-3846-9A35-440116029CE2}" name="  90+" dataDxfId="43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8D8B57-3953-F24A-96A8-A7806E0B3593}" name="Table3410111213181415162325" displayName="Table3410111213181415162325" ref="A1:T67" totalsRowShown="0" headerRowDxfId="63" dataDxfId="62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D19F213-4A1F-5244-98CA-2CEB53B5A04C}" name="DHB" dataDxfId="61"/>
    <tableColumn id="2" xr3:uid="{D4C16475-20BB-3443-9FA6-29E473E64DA1}" name="Group" dataDxfId="60"/>
    <tableColumn id="3" xr3:uid="{D2DF0F74-749E-544F-B514-AA61AABBF7EB}" name="Total" dataDxfId="59">
      <calculatedColumnFormula>Table34101112131814151623[[#This Row],[Total]]-Table3410112[[#This Row],[Total]]</calculatedColumnFormula>
    </tableColumn>
    <tableColumn id="5" xr3:uid="{1161B10E-BB53-7A43-90DF-A05DAE216A44}" name="  5-11" dataDxfId="58" dataCellStyle="Normal 3">
      <calculatedColumnFormula>Table34101112131814151623[[#This Row],[  5-11]]-Table3410112[[#This Row],[  5-11]]</calculatedColumnFormula>
    </tableColumn>
    <tableColumn id="6" xr3:uid="{F44895A5-16A4-DA41-A38B-F6E9C8078D4E}" name="  12-17" dataDxfId="57" dataCellStyle="Normal 3">
      <calculatedColumnFormula>Table34101112131814151623[[#This Row],[  12-17]]-Table3410112[[#This Row],[  12-17]]</calculatedColumnFormula>
    </tableColumn>
    <tableColumn id="7" xr3:uid="{211FDDEE-3670-3A48-A01D-E47EC38DED8F}" name="  18-24" dataDxfId="56" dataCellStyle="Normal 3">
      <calculatedColumnFormula>Table34101112131814151623[[#This Row],[  18-24]]-Table3410112[[#This Row],[  18-24]]</calculatedColumnFormula>
    </tableColumn>
    <tableColumn id="8" xr3:uid="{E3845DFF-AC3F-994E-8C18-9AC79F368689}" name="  25-29 " dataDxfId="55" dataCellStyle="Normal 3">
      <calculatedColumnFormula>Table34101112131814151623[[#This Row],[  25-29 ]]-Table3410112[[#This Row],[  25-29 ]]</calculatedColumnFormula>
    </tableColumn>
    <tableColumn id="9" xr3:uid="{11B2E7A6-7413-3040-BD9A-E18E6321C891}" name="  30-34" dataDxfId="54" dataCellStyle="Normal 3">
      <calculatedColumnFormula>Table34101112131814151623[[#This Row],[  30-34]]-Table3410112[[#This Row],[  30-34]]</calculatedColumnFormula>
    </tableColumn>
    <tableColumn id="10" xr3:uid="{DA8A7E9D-9461-B344-9CDF-2A06A7A97365}" name="  35-39" dataDxfId="53" dataCellStyle="Normal 3">
      <calculatedColumnFormula>Table34101112131814151623[[#This Row],[  35-39]]-Table3410112[[#This Row],[  35-39]]</calculatedColumnFormula>
    </tableColumn>
    <tableColumn id="11" xr3:uid="{8F52A83D-5B5C-5248-A19F-5249112736C1}" name="  40-44" dataDxfId="52" dataCellStyle="Normal 3">
      <calculatedColumnFormula>Table34101112131814151623[[#This Row],[  40-44]]-Table3410112[[#This Row],[  40-44]]</calculatedColumnFormula>
    </tableColumn>
    <tableColumn id="12" xr3:uid="{40AB4246-07E9-8B4B-A96E-D9F9928A3E17}" name="  45-49 " dataDxfId="51" dataCellStyle="Normal 3">
      <calculatedColumnFormula>Table34101112131814151623[[#This Row],[  45-49 ]]-Table3410112[[#This Row],[  45-49 ]]</calculatedColumnFormula>
    </tableColumn>
    <tableColumn id="13" xr3:uid="{1266A3F6-238D-584D-B49A-36E2F4F1C503}" name="  50-54" dataDxfId="50" dataCellStyle="Normal 3">
      <calculatedColumnFormula>Table34101112131814151623[[#This Row],[  50-54]]-Table3410112[[#This Row],[  50-54]]</calculatedColumnFormula>
    </tableColumn>
    <tableColumn id="14" xr3:uid="{62442DE1-D7DF-5E48-8AD5-52A123C993EC}" name="  55-59" dataDxfId="49" dataCellStyle="Normal 3">
      <calculatedColumnFormula>Table34101112131814151623[[#This Row],[  55-59]]-Table3410112[[#This Row],[  55-59]]</calculatedColumnFormula>
    </tableColumn>
    <tableColumn id="15" xr3:uid="{EA60FDB2-E5DC-8B4D-BDDD-25BAC24DEA15}" name="  60-64" dataDxfId="48" dataCellStyle="Normal 3">
      <calculatedColumnFormula>Table34101112131814151623[[#This Row],[  60-64]]-Table3410112[[#This Row],[  60-64]]</calculatedColumnFormula>
    </tableColumn>
    <tableColumn id="16" xr3:uid="{EDC66B6A-779B-5B44-89A7-3737740CEF9A}" name="  65-69" dataDxfId="47" dataCellStyle="Normal 3">
      <calculatedColumnFormula>Table34101112131814151623[[#This Row],[  65-69]]-Table3410112[[#This Row],[  65-69]]</calculatedColumnFormula>
    </tableColumn>
    <tableColumn id="17" xr3:uid="{FF6B2096-DBD1-F548-A243-A0D9CF04A743}" name="  70-74" dataDxfId="46" dataCellStyle="Normal 3">
      <calculatedColumnFormula>Table34101112131814151623[[#This Row],[  70-74]]-Table3410112[[#This Row],[  70-74]]</calculatedColumnFormula>
    </tableColumn>
    <tableColumn id="18" xr3:uid="{24EC6FCC-1290-B240-8CFC-4B51EFF79524}" name="  75-79" dataDxfId="45" dataCellStyle="Normal 3">
      <calculatedColumnFormula>Table34101112131814151623[[#This Row],[  75-79]]-Table3410112[[#This Row],[  75-79]]</calculatedColumnFormula>
    </tableColumn>
    <tableColumn id="19" xr3:uid="{F943F077-54A3-2448-9F13-7D5DAA9CD68F}" name="  80-84" dataDxfId="44" dataCellStyle="Normal 3">
      <calculatedColumnFormula>Table34101112131814151623[[#This Row],[  80-84]]-Table3410112[[#This Row],[  80-84]]</calculatedColumnFormula>
    </tableColumn>
    <tableColumn id="20" xr3:uid="{F0F0C9AC-DBAF-1C4C-95E5-00E3D70DD6AC}" name="  85-89" dataDxfId="43" dataCellStyle="Normal 3">
      <calculatedColumnFormula>Table34101112131814151623[[#This Row],[  85-89]]-Table3410112[[#This Row],[  85-89]]</calculatedColumnFormula>
    </tableColumn>
    <tableColumn id="21" xr3:uid="{5CD17207-CC37-AA41-8C37-ABE30EF27DA9}" name="  90+" dataDxfId="42" dataCellStyle="Normal 3">
      <calculatedColumnFormula>Table34101112131814151623[[#This Row],[  90+]]-Table3410112[[#This Row],[  90+]]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694E0E-C6DB-B041-BC79-590031BE4F61}" name="MāoriERPDHBPop5" displayName="MāoriERPDHBPop5" ref="A4:U70" totalsRowShown="0" headerRowDxfId="41" dataCellStyle="Normal 2">
  <autoFilter ref="A4:U70" xr:uid="{DC694E0E-C6DB-B041-BC79-590031BE4F61}"/>
  <tableColumns count="21">
    <tableColumn id="1" xr3:uid="{FCC7A062-CC99-9D4A-BB6B-47FC84341B2E}" name="Gender" dataDxfId="40"/>
    <tableColumn id="2" xr3:uid="{47989DFF-7D05-FB4F-A671-1B49780963C5}" name="DHB" dataDxfId="39"/>
    <tableColumn id="3" xr3:uid="{957653F6-65FA-574C-8329-6D226CADC4AF}" name="Total people (5+)" dataDxfId="38" dataCellStyle="Normal 2"/>
    <tableColumn id="4" xr3:uid="{8A78AB73-7BA7-3946-8A74-3B5B860D67E3}" name="  0-4 Years" dataDxfId="37" dataCellStyle="Normal 2"/>
    <tableColumn id="5" xr3:uid="{6E5E2857-C524-1148-9E46-85A62C320C2C}" name="  5-11 Years" dataDxfId="36" dataCellStyle="Normal 2"/>
    <tableColumn id="6" xr3:uid="{064B072F-B0D4-A043-A8C4-B06739BC2426}" name="  12-17 Years" dataDxfId="35" dataCellStyle="Normal 2"/>
    <tableColumn id="7" xr3:uid="{67B0E40C-DD5E-2C4A-96C6-A54A3ABEB08F}" name="  18-24 Years" dataDxfId="34" dataCellStyle="Normal 2"/>
    <tableColumn id="9" xr3:uid="{DC237124-317E-1745-B6E1-375EBAD0C326}" name="  25-29 Years" dataDxfId="33" dataCellStyle="Normal 2"/>
    <tableColumn id="10" xr3:uid="{5FA173BF-6A01-4245-B8F0-72CAA3296F66}" name="  30-34 Years" dataDxfId="32" dataCellStyle="Normal 2"/>
    <tableColumn id="11" xr3:uid="{3295E8F9-7C87-FB43-BDCF-1402EFC2D2E3}" name="  35-39 Years" dataDxfId="31" dataCellStyle="Normal 2"/>
    <tableColumn id="12" xr3:uid="{29F110DA-E79D-3841-85A8-DB9172B27560}" name="  40-44 Years" dataDxfId="30" dataCellStyle="Normal 2"/>
    <tableColumn id="13" xr3:uid="{158ECBBD-C90A-6845-9CF9-0BB414DA933B}" name="  45-49 Years" dataDxfId="29" dataCellStyle="Normal 2"/>
    <tableColumn id="14" xr3:uid="{D453126C-242D-1040-8B66-908FA3A380DE}" name="  50-54 Years" dataDxfId="28" dataCellStyle="Normal 2"/>
    <tableColumn id="15" xr3:uid="{034D9D32-3F21-644F-A41C-E7A883940F79}" name="  55-59 Years" dataDxfId="27" dataCellStyle="Normal 2"/>
    <tableColumn id="16" xr3:uid="{E89754A5-8668-1845-BD60-0DE23B8CA159}" name="  60-64 Years" dataDxfId="26" dataCellStyle="Normal 2"/>
    <tableColumn id="17" xr3:uid="{46D9C02F-3201-4B45-84E2-A4C7AC3ED33D}" name="  65-69 Years" dataDxfId="25" dataCellStyle="Normal 2"/>
    <tableColumn id="18" xr3:uid="{3862BF89-B090-6E4D-89DD-A5C9C92B091A}" name="  70-74 Years" dataDxfId="24" dataCellStyle="Normal 2"/>
    <tableColumn id="19" xr3:uid="{C1CF4F2A-75BF-7948-83F3-CA83A41BC8B3}" name="  75-79 Years" dataDxfId="23" dataCellStyle="Normal 2"/>
    <tableColumn id="20" xr3:uid="{98FD8638-CD15-4F4C-AA94-B9E98F66C4EF}" name="  80-84 Years" dataDxfId="22" dataCellStyle="Normal 2"/>
    <tableColumn id="21" xr3:uid="{7EA0B256-B092-354D-9907-2B0395A0B23A}" name="  85-89 Years" dataDxfId="21" dataCellStyle="Normal 2"/>
    <tableColumn id="22" xr3:uid="{46287F37-DAD3-1D41-9A8C-1C0557A57D6B}" name="  90 Years and over" dataCellStyle="Normal 2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A874A4-4DC6-E140-B243-FD4154E046CF}" name="AllERPDHBPop5" displayName="AllERPDHBPop5" ref="A81:U147" totalsRowShown="0" headerRowDxfId="20" dataCellStyle="Normal 2">
  <autoFilter ref="A81:U147" xr:uid="{25A874A4-4DC6-E140-B243-FD4154E046CF}"/>
  <tableColumns count="21">
    <tableColumn id="1" xr3:uid="{D314B90D-D365-8F4A-97DE-2E9AC91BCA39}" name="Gender" dataDxfId="19"/>
    <tableColumn id="2" xr3:uid="{FF08822D-D146-6D44-928F-9FC646E5A4DF}" name="DHB" dataDxfId="18"/>
    <tableColumn id="3" xr3:uid="{847560CE-A8D2-BC48-AA96-217D508B9349}" name="Total people (5+)" dataDxfId="17" dataCellStyle="Normal 2"/>
    <tableColumn id="4" xr3:uid="{B01D3E8C-6592-0044-8327-DE8A4F8F0A8E}" name="  0-4 Years" dataDxfId="16" dataCellStyle="Normal 2"/>
    <tableColumn id="5" xr3:uid="{4285A242-4A4B-2249-8822-51F0F8BA16E8}" name="  5-11 Years" dataDxfId="15" dataCellStyle="Normal 2"/>
    <tableColumn id="6" xr3:uid="{166D92C9-40B4-084F-8539-BE7F15266D80}" name="  12-17 Years" dataDxfId="14" dataCellStyle="Normal 2"/>
    <tableColumn id="7" xr3:uid="{71CB9DA9-7CBA-374B-9B10-C59E0E3816DC}" name="  18-24 Years" dataDxfId="13" dataCellStyle="Normal 2"/>
    <tableColumn id="9" xr3:uid="{4FFD0891-DA12-AB4C-9173-98F2BAACE775}" name="  25-29 Years" dataDxfId="12" dataCellStyle="Normal 2"/>
    <tableColumn id="10" xr3:uid="{AEB7EFE1-25F1-CB4E-A312-B2EE99227E0F}" name="  30-34 Years" dataDxfId="11" dataCellStyle="Normal 2"/>
    <tableColumn id="11" xr3:uid="{51E219FB-5B07-0D49-A529-EC0BB7C4AE5B}" name="  35-39 Years" dataDxfId="10" dataCellStyle="Normal 2"/>
    <tableColumn id="12" xr3:uid="{5CCC57C2-7599-B546-954E-565B95235EDA}" name="  40-44 Years" dataDxfId="9" dataCellStyle="Normal 2"/>
    <tableColumn id="13" xr3:uid="{8F6BF527-7D43-B947-8A81-9047E6D0A2CC}" name="  45-49 Years" dataDxfId="8" dataCellStyle="Normal 2"/>
    <tableColumn id="14" xr3:uid="{EE2167AD-DEB3-9344-8902-6B8F1F3C4045}" name="  50-54 Years" dataDxfId="7" dataCellStyle="Normal 2"/>
    <tableColumn id="15" xr3:uid="{7432B46C-6BD5-3641-8203-0B7A3B76387C}" name="  55-59 Years" dataDxfId="6" dataCellStyle="Normal 2"/>
    <tableColumn id="16" xr3:uid="{BFACECE9-F18D-C84F-B01C-F3239B617226}" name="  60-64 Years" dataDxfId="5" dataCellStyle="Normal 2"/>
    <tableColumn id="17" xr3:uid="{72FAD85B-B629-C140-9181-222B9A77E5FC}" name="  65-69 Years" dataDxfId="4" dataCellStyle="Normal 2"/>
    <tableColumn id="18" xr3:uid="{936DF25E-2A88-CD43-A309-5A59499568A2}" name="  70-74 Years" dataDxfId="3" dataCellStyle="Normal 2"/>
    <tableColumn id="19" xr3:uid="{B348AA63-BA6A-8F45-9F6E-07C1651A62D1}" name="  75-79 Years" dataDxfId="2" dataCellStyle="Normal 2"/>
    <tableColumn id="20" xr3:uid="{81F3E9C6-3DD3-5445-868B-C2D4F084D905}" name="  80-84 Years" dataDxfId="1" dataCellStyle="Normal 2"/>
    <tableColumn id="21" xr3:uid="{118FF912-0A9D-9642-AEF0-97F5EBFE7B95}" name="  85-89 Years" dataDxfId="0" dataCellStyle="Normal 2"/>
    <tableColumn id="22" xr3:uid="{FB0FE6BB-A378-544D-895C-D3193723A180}" name="  90 Years and over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49F1C-0C2E-7A46-A35D-71245E7A0856}" name="Table3410112" displayName="Table3410112" ref="A1:T67" totalsRowShown="0" headerRowDxfId="435" dataDxfId="434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20C56D02-A499-7C4F-9488-273B159D1816}" name="DHB" dataDxfId="433"/>
    <tableColumn id="2" xr3:uid="{820C191C-ED4B-FD44-80C6-33B227802C3F}" name="Group" dataDxfId="432"/>
    <tableColumn id="3" xr3:uid="{3839E771-CD3C-034A-9DA0-70B3A2686B4D}" name="Total" dataDxfId="431">
      <calculatedColumnFormula>Table341011[[#This Row],[Total]]-Table3410111213[[#This Row],[Total]]</calculatedColumnFormula>
    </tableColumn>
    <tableColumn id="5" xr3:uid="{B1A2BE4D-BEAF-3944-8B64-077D3340A632}" name="  5-11" dataDxfId="430">
      <calculatedColumnFormula>Table341011[[#This Row],[  5-11]]-Table3410111213[[#This Row],[  5-11]]</calculatedColumnFormula>
    </tableColumn>
    <tableColumn id="6" xr3:uid="{08FC48D9-A220-284D-957F-A62FA68734FA}" name="  12-17" dataDxfId="429">
      <calculatedColumnFormula>Table341011[[#This Row],[  12-17]]-Table3410111213[[#This Row],[  12-17]]</calculatedColumnFormula>
    </tableColumn>
    <tableColumn id="7" xr3:uid="{19F8CFC0-6525-4F40-894A-E0A535C52893}" name="  18-24" dataDxfId="428">
      <calculatedColumnFormula>Table341011[[#This Row],[  18-24]]-Table3410111213[[#This Row],[  18-24]]</calculatedColumnFormula>
    </tableColumn>
    <tableColumn id="8" xr3:uid="{091C0734-E0AD-1047-8A5D-863DFDCC4881}" name="  25-29 " dataDxfId="427">
      <calculatedColumnFormula>Table341011[[#This Row],[  25-29 ]]-Table3410111213[[#This Row],[  25-29 ]]</calculatedColumnFormula>
    </tableColumn>
    <tableColumn id="9" xr3:uid="{0EA9351F-DF31-CB45-9AF8-DC0F59890B92}" name="  30-34" dataDxfId="426">
      <calculatedColumnFormula>Table341011[[#This Row],[  30-34]]-Table3410111213[[#This Row],[  30-34]]</calculatedColumnFormula>
    </tableColumn>
    <tableColumn id="10" xr3:uid="{B66B7BBA-5888-BE43-B842-3681A742B97E}" name="  35-39" dataDxfId="425">
      <calculatedColumnFormula>Table341011[[#This Row],[  35-39]]-Table3410111213[[#This Row],[  35-39]]</calculatedColumnFormula>
    </tableColumn>
    <tableColumn id="11" xr3:uid="{E8233CBF-1465-FB40-ACB0-D9B2485A4594}" name="  40-44" dataDxfId="424">
      <calculatedColumnFormula>Table341011[[#This Row],[  40-44]]-Table3410111213[[#This Row],[  40-44]]</calculatedColumnFormula>
    </tableColumn>
    <tableColumn id="12" xr3:uid="{7A38DBD4-B6C8-8648-9D35-A362D855DF8A}" name="  45-49 " dataDxfId="423">
      <calculatedColumnFormula>Table341011[[#This Row],[  45-49 ]]-Table3410111213[[#This Row],[  45-49 ]]</calculatedColumnFormula>
    </tableColumn>
    <tableColumn id="13" xr3:uid="{388CFF37-8F90-5A46-A0CC-C2E20C2ED85E}" name="  50-54" dataDxfId="422">
      <calculatedColumnFormula>Table341011[[#This Row],[  50-54]]-Table3410111213[[#This Row],[  50-54]]</calculatedColumnFormula>
    </tableColumn>
    <tableColumn id="14" xr3:uid="{D6AB6A49-4F6D-724D-BE26-F2CA29E2920C}" name="  55-59" dataDxfId="421">
      <calculatedColumnFormula>Table341011[[#This Row],[  55-59]]-Table3410111213[[#This Row],[  55-59]]</calculatedColumnFormula>
    </tableColumn>
    <tableColumn id="15" xr3:uid="{D55F9991-4CA0-B447-BB67-BB334B99FBD9}" name="  60-64" dataDxfId="420">
      <calculatedColumnFormula>Table341011[[#This Row],[  60-64]]-Table3410111213[[#This Row],[  60-64]]</calculatedColumnFormula>
    </tableColumn>
    <tableColumn id="16" xr3:uid="{9B39A289-A1EE-5E42-9E9E-F8D790C4BD0B}" name="  65-69" dataDxfId="419">
      <calculatedColumnFormula>Table341011[[#This Row],[  65-69]]-Table3410111213[[#This Row],[  65-69]]</calculatedColumnFormula>
    </tableColumn>
    <tableColumn id="17" xr3:uid="{BDE7E0D6-F853-994C-93AC-80D4B148C992}" name="  70-74" dataDxfId="418">
      <calculatedColumnFormula>Table341011[[#This Row],[  70-74]]-Table3410111213[[#This Row],[  70-74]]</calculatedColumnFormula>
    </tableColumn>
    <tableColumn id="18" xr3:uid="{9AA8962D-2C77-8741-BF8F-1CF3E9EFB439}" name="  75-79" dataDxfId="417">
      <calculatedColumnFormula>Table341011[[#This Row],[  75-79]]-Table3410111213[[#This Row],[  75-79]]</calculatedColumnFormula>
    </tableColumn>
    <tableColumn id="19" xr3:uid="{09E9CC38-D43F-5344-A370-9B6C03B11239}" name="  80-84" dataDxfId="416">
      <calculatedColumnFormula>Table341011[[#This Row],[  80-84]]-Table3410111213[[#This Row],[  80-84]]</calculatedColumnFormula>
    </tableColumn>
    <tableColumn id="20" xr3:uid="{B1313CE1-D1EE-374A-A303-BCBD48BCE8EC}" name="  85-89" dataDxfId="415">
      <calculatedColumnFormula>Table341011[[#This Row],[  85-89]]-Table3410111213[[#This Row],[  85-89]]</calculatedColumnFormula>
    </tableColumn>
    <tableColumn id="21" xr3:uid="{43317514-D85E-3440-95B9-066EE2BC5818}" name="  90+" dataDxfId="414">
      <calculatedColumnFormula>Table341011[[#This Row],[  90+]]-Table3410111213[[#This Row],[  90+]]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91272-1ECD-484D-A5B8-D7CD672BE7E5}" name="Table3410113" displayName="Table3410113" ref="A1:T4" totalsRowShown="0" headerRowDxfId="413" dataDxfId="412">
  <autoFilter ref="A1:T4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E5646B2-03CE-FE43-9DC7-D85D39DF53F6}" name="DHB" dataDxfId="411"/>
    <tableColumn id="2" xr3:uid="{B8124D13-B7C2-5B46-AFD9-819CDBBBD773}" name="Group" dataDxfId="410"/>
    <tableColumn id="3" xr3:uid="{441AA36A-F5A3-8840-8249-DF18FD8097B7}" name="Total" dataDxfId="409">
      <calculatedColumnFormula>TotalFullVacc!C65</calculatedColumnFormula>
    </tableColumn>
    <tableColumn id="5" xr3:uid="{27DF1569-B1FF-B049-9252-84446BEF4786}" name="  5-11" dataDxfId="408"/>
    <tableColumn id="6" xr3:uid="{5709D2AB-9363-1B41-B69D-E884E81D5776}" name="  12-17" dataDxfId="407"/>
    <tableColumn id="7" xr3:uid="{ADE10DA1-B9A7-E043-87AF-254BFE76E48E}" name="  18-24" dataDxfId="406"/>
    <tableColumn id="8" xr3:uid="{DEBA6042-70FE-B04E-9B48-EFB32CADEA33}" name="  25-29 " dataDxfId="405"/>
    <tableColumn id="9" xr3:uid="{53605110-1BFD-E349-A875-B6C0E7E9D2CC}" name="  30-34" dataDxfId="404"/>
    <tableColumn id="10" xr3:uid="{EAAD71D0-82F5-9143-BC21-E007B03D29EA}" name="  35-39" dataDxfId="403"/>
    <tableColumn id="11" xr3:uid="{0A0DD2BE-03E6-F843-8AC5-B27D4D184C8D}" name="  40-44" dataDxfId="402"/>
    <tableColumn id="12" xr3:uid="{5DA9A868-3E88-C94F-9CD3-7FA69144517E}" name="  45-49 " dataDxfId="401"/>
    <tableColumn id="13" xr3:uid="{EFAF1116-48D4-8149-927F-577ECE13FB13}" name="  50-54" dataDxfId="400"/>
    <tableColumn id="14" xr3:uid="{52F8716F-47BE-A942-82C6-C2765B644FA1}" name="  55-59" dataDxfId="399"/>
    <tableColumn id="15" xr3:uid="{D07ED945-1344-094E-A4EC-6C9FA9F057D5}" name="  60-64" dataDxfId="398"/>
    <tableColumn id="16" xr3:uid="{51913311-47AF-0543-AFCC-463C7C23D059}" name="  65-69" dataDxfId="397"/>
    <tableColumn id="17" xr3:uid="{44364872-7CFB-CA46-98CE-DCCBB0A4A18D}" name="  70-74" dataDxfId="396"/>
    <tableColumn id="18" xr3:uid="{5371E885-3C97-594E-9C59-E97267DFE684}" name="  75-79" dataDxfId="395"/>
    <tableColumn id="19" xr3:uid="{08ADC3E4-DF47-314D-A16F-91EC91383041}" name="  80-84" dataDxfId="394"/>
    <tableColumn id="20" xr3:uid="{587221B5-2FAB-FB44-B6CF-2EB453241AB0}" name="  85-89" dataDxfId="393"/>
    <tableColumn id="21" xr3:uid="{A802EFB1-2555-C945-8F04-856947B51945}" name="  90+" dataDxfId="39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88FFA5-3CC4-A849-9285-D8A73A31E76F}" name="Table34101112134" displayName="Table34101112134" ref="A1:T4" totalsRowShown="0" headerRowDxfId="391" dataDxfId="390">
  <autoFilter ref="A1:T4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E8099866-C490-C148-9180-829C1A8897C2}" name="DHB" dataDxfId="389"/>
    <tableColumn id="2" xr3:uid="{6DAEACE0-1935-D949-BDC8-8B14EB47BD44}" name="Group" dataDxfId="388"/>
    <tableColumn id="3" xr3:uid="{0414E052-EBE3-4E47-98F3-593F16CACD0E}" name="Total" dataDxfId="387">
      <calculatedColumnFormula>MaoriFullVacc!C65</calculatedColumnFormula>
    </tableColumn>
    <tableColumn id="5" xr3:uid="{D55714D3-12B1-5342-99B2-988F5D62B56F}" name="  5-11" dataDxfId="386"/>
    <tableColumn id="6" xr3:uid="{BE5758E6-E572-3F4A-BE68-F1C0BCBD0B0E}" name="  12-17" dataDxfId="385"/>
    <tableColumn id="7" xr3:uid="{EE9CA055-6EBC-A14E-9814-5F7111CFF982}" name="  18-24" dataDxfId="384"/>
    <tableColumn id="8" xr3:uid="{9D8DFC01-2FB0-6040-8908-60F4B077BFD1}" name="  25-29 " dataDxfId="383"/>
    <tableColumn id="9" xr3:uid="{96CD78F6-585C-CE4F-9E92-35D8AB2F27E3}" name="  30-34" dataDxfId="382"/>
    <tableColumn id="10" xr3:uid="{13AE1128-2944-B94E-A91B-8AAB1785A5BA}" name="  35-39" dataDxfId="381"/>
    <tableColumn id="11" xr3:uid="{5CCCDF96-C5C3-744E-B694-6D2DD75A066E}" name="  40-44" dataDxfId="380"/>
    <tableColumn id="12" xr3:uid="{6DFC7B15-64B3-B746-90B4-60B201ADE220}" name="  45-49 " dataDxfId="379"/>
    <tableColumn id="13" xr3:uid="{78503A15-75A3-D94A-BDFF-EFFC87A09AE8}" name="  50-54" dataDxfId="378"/>
    <tableColumn id="14" xr3:uid="{38380670-4906-A445-B066-0CA006025888}" name="  55-59" dataDxfId="377"/>
    <tableColumn id="15" xr3:uid="{59FBA329-26CE-904E-A5E1-D4B7ACC88D2D}" name="  60-64" dataDxfId="376"/>
    <tableColumn id="16" xr3:uid="{6FC66CCC-EF5B-EB41-8826-63C32E066B7B}" name="  65-69" dataDxfId="375"/>
    <tableColumn id="17" xr3:uid="{185711B7-B79D-3F46-B355-D75CC5225116}" name="  70-74" dataDxfId="374"/>
    <tableColumn id="18" xr3:uid="{317B5F7E-5D9E-DA44-BB6D-EB1A15A7051B}" name="  75-79" dataDxfId="373"/>
    <tableColumn id="19" xr3:uid="{F6C4771E-B057-7341-8145-05791D8C65B0}" name="  80-84" dataDxfId="372"/>
    <tableColumn id="20" xr3:uid="{8430823E-23FF-1D41-946C-BEBB497EFF23}" name="  85-89" dataDxfId="371"/>
    <tableColumn id="21" xr3:uid="{C1D52E2F-D046-0640-A981-D02694CCDF81}" name="  90+" dataDxfId="37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13C6AD-CC69-0040-9D14-7F9CA3FA5F41}" name="Table34101125" displayName="Table34101125" ref="A1:T4" totalsRowShown="0" headerRowDxfId="369" dataDxfId="368">
  <autoFilter ref="A1:T4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B2D22230-1566-7249-BC1F-710170F8D5C5}" name="DHB" dataDxfId="367"/>
    <tableColumn id="2" xr3:uid="{409A73FB-D95B-4E4D-B763-6853C3B2B978}" name="Group" dataDxfId="366"/>
    <tableColumn id="3" xr3:uid="{3CAA7A96-AF07-B346-A9C3-8192A544499C}" name="Total" dataDxfId="365">
      <calculatedColumnFormula>NonMaoriFullVacc!C65</calculatedColumnFormula>
    </tableColumn>
    <tableColumn id="5" xr3:uid="{7D644C76-C949-1E45-8F1A-A2D208E1B209}" name="  5-11" dataDxfId="364"/>
    <tableColumn id="6" xr3:uid="{91774B72-C3CE-3540-95B7-3657D63B2D26}" name="  12-17" dataDxfId="363"/>
    <tableColumn id="7" xr3:uid="{C91B6C78-69CD-B34F-A19F-49D3CA2851F5}" name="  18-24" dataDxfId="362"/>
    <tableColumn id="8" xr3:uid="{E298B350-2A52-6A44-A143-F63A6A3A2E18}" name="  25-29 " dataDxfId="361"/>
    <tableColumn id="9" xr3:uid="{E057535B-2B9C-1D42-857D-BC41DC212EC2}" name="  30-34" dataDxfId="360"/>
    <tableColumn id="10" xr3:uid="{A0DDB532-DD6F-3847-B40D-0ADA9EB1EAB5}" name="  35-39" dataDxfId="359"/>
    <tableColumn id="11" xr3:uid="{D5F429FE-DEFE-5542-BA9B-08AB26192591}" name="  40-44" dataDxfId="358"/>
    <tableColumn id="12" xr3:uid="{43498D95-4067-004A-8C1B-68FABF50F8CA}" name="  45-49 " dataDxfId="357"/>
    <tableColumn id="13" xr3:uid="{86A05D71-49D2-274E-88A6-845BE23CC266}" name="  50-54" dataDxfId="356"/>
    <tableColumn id="14" xr3:uid="{F9F69DBA-3C71-9B46-86E0-4F792D468796}" name="  55-59" dataDxfId="355"/>
    <tableColumn id="15" xr3:uid="{EF8CD05A-2791-754C-81F8-C776CD4A9AC5}" name="  60-64" dataDxfId="354"/>
    <tableColumn id="16" xr3:uid="{9BAB1E86-EB20-A743-AF08-027A42B3571E}" name="  65-69" dataDxfId="353"/>
    <tableColumn id="17" xr3:uid="{D2AB5552-7D78-EF49-9800-B042B38E6097}" name="  70-74" dataDxfId="352"/>
    <tableColumn id="18" xr3:uid="{1284A973-1298-6F45-B86A-022FA313522A}" name="  75-79" dataDxfId="351"/>
    <tableColumn id="19" xr3:uid="{34DA10AE-3135-E046-91E2-7A61A176B34C}" name="  80-84" dataDxfId="350"/>
    <tableColumn id="20" xr3:uid="{9BE20850-C1CC-7B4B-9283-6CEEAF40C74C}" name="  85-89" dataDxfId="349"/>
    <tableColumn id="21" xr3:uid="{6F863F6A-F7BD-3A47-9780-6F0B0D123124}" name="  90+" dataDxfId="34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76A407D-9459-0444-9A9A-AC9808748E2F}" name="Table34101112131814" displayName="Table34101112131814" ref="A1:T67" totalsRowShown="0" headerRowDxfId="347" dataDxfId="34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DB1EFA02-E634-F342-B535-8899E09CAC05}" name="DHB" dataDxfId="345"/>
    <tableColumn id="2" xr3:uid="{F260E9A6-D60F-BC4B-9EED-64B81EB82071}" name="Group" dataDxfId="344"/>
    <tableColumn id="3" xr3:uid="{25D85215-E4F1-9242-AC0F-F6524A26925A}" name="Total" dataDxfId="343">
      <calculatedColumnFormula>SUM(Table34101112131814[[#This Row],[  5-11]:[  90+]])</calculatedColumnFormula>
    </tableColumn>
    <tableColumn id="5" xr3:uid="{B50D1C7B-E767-724A-8CE2-7E8372FFAA14}" name="  5-11" dataDxfId="342" dataCellStyle="Normal 3"/>
    <tableColumn id="6" xr3:uid="{9DCBCAC8-ACB0-314E-82AF-05A21FC66D89}" name="  12-17" dataDxfId="341" dataCellStyle="Normal 3"/>
    <tableColumn id="7" xr3:uid="{E5DBFFB6-D4B2-454B-8B15-E597329146A6}" name="  18-24" dataDxfId="340" dataCellStyle="Normal 3"/>
    <tableColumn id="8" xr3:uid="{8BA9F45A-3167-C440-8448-A0FD33C274B5}" name="  25-29 " dataDxfId="339" dataCellStyle="Normal 3"/>
    <tableColumn id="9" xr3:uid="{20081BFC-40E2-244E-B99E-0CC7FDCE6539}" name="  30-34" dataDxfId="338" dataCellStyle="Normal 3"/>
    <tableColumn id="10" xr3:uid="{DA9D90F4-E4F0-CA44-AE86-AE2B92AAA3B6}" name="  35-39" dataDxfId="337" dataCellStyle="Normal 3"/>
    <tableColumn id="11" xr3:uid="{1D0B1E7D-7084-9C48-BFBD-29CE0994F290}" name="  40-44" dataDxfId="336" dataCellStyle="Normal 3"/>
    <tableColumn id="12" xr3:uid="{60D99E8C-A182-9B44-8219-191BB2E34F09}" name="  45-49 " dataDxfId="335" dataCellStyle="Normal 3"/>
    <tableColumn id="13" xr3:uid="{2D9A1DCC-B58B-3549-A78E-84613D6290A4}" name="  50-54" dataDxfId="334" dataCellStyle="Normal 3"/>
    <tableColumn id="14" xr3:uid="{FF848888-1E72-4A4B-9B52-A18EE218518F}" name="  55-59" dataDxfId="333" dataCellStyle="Normal 3"/>
    <tableColumn id="15" xr3:uid="{92DF6324-8853-054A-8AB0-D98E28AA0803}" name="  60-64" dataDxfId="332" dataCellStyle="Normal 3"/>
    <tableColumn id="16" xr3:uid="{03B55DE0-53B8-E943-BCD8-A360FBA66BC4}" name="  65-69" dataDxfId="331" dataCellStyle="Normal 3"/>
    <tableColumn id="17" xr3:uid="{898EAC47-2266-B940-B832-264C9A47F553}" name="  70-74" dataDxfId="330" dataCellStyle="Normal 3"/>
    <tableColumn id="18" xr3:uid="{DDCEE017-47EF-094F-9D53-C039F85CA821}" name="  75-79" dataDxfId="329" dataCellStyle="Normal 3"/>
    <tableColumn id="19" xr3:uid="{54334180-1F04-E14A-9C00-80DEC04624D6}" name="  80-84" dataDxfId="328" dataCellStyle="Normal 3"/>
    <tableColumn id="20" xr3:uid="{8648D73D-3BD9-5744-BCA2-84D05000EC75}" name="  85-89" dataDxfId="327" dataCellStyle="Normal 3"/>
    <tableColumn id="21" xr3:uid="{70B58D10-7C41-9549-9218-1BB7243CCA15}" name="  90+" dataDxfId="326" dataCellStyle="Normal 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69D58D-20AD-6243-B732-6D64F70E149C}" name="Table341011121318" displayName="Table341011121318" ref="A1:T67" totalsRowShown="0" headerRowDxfId="325" dataDxfId="324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9FD3FDE-5351-2340-ADDD-2755D2F6E021}" name="DHB" dataDxfId="323"/>
    <tableColumn id="2" xr3:uid="{6AEBA857-31B6-FB44-B0CB-2189B661C193}" name="Group" dataDxfId="322"/>
    <tableColumn id="3" xr3:uid="{66D1885E-1604-3044-B144-34D6E5655F7B}" name="Total" dataDxfId="321">
      <calculatedColumnFormula>SUM(Table341011121318[[#This Row],[  5-11]:[  90+]])</calculatedColumnFormula>
    </tableColumn>
    <tableColumn id="5" xr3:uid="{21BB3065-9487-B440-87BC-49052038C7F7}" name="  5-11" dataDxfId="320"/>
    <tableColumn id="6" xr3:uid="{DF64F0A2-5B74-F840-A580-A92DF18A5403}" name="  12-17" dataDxfId="319"/>
    <tableColumn id="7" xr3:uid="{83571125-2948-1D49-8D94-0BE5891F0CAF}" name="  18-24" dataDxfId="318"/>
    <tableColumn id="8" xr3:uid="{DF24DF82-0D20-E747-A563-659C170C4917}" name="  25-29 " dataDxfId="317"/>
    <tableColumn id="9" xr3:uid="{8AFDAAA1-EE7C-5643-A901-0285F1C45893}" name="  30-34" dataDxfId="316"/>
    <tableColumn id="10" xr3:uid="{370E2990-898D-CD4E-8D42-0E9439D0413F}" name="  35-39" dataDxfId="315"/>
    <tableColumn id="11" xr3:uid="{D7F1A6FC-1FCE-AA4E-BA0E-6083044C400F}" name="  40-44" dataDxfId="314"/>
    <tableColumn id="12" xr3:uid="{D5FB9992-B403-2044-8928-8FA1C77E5744}" name="  45-49 " dataDxfId="313"/>
    <tableColumn id="13" xr3:uid="{8D8EC658-64F9-B344-BB25-24B32951E6F0}" name="  50-54" dataDxfId="312"/>
    <tableColumn id="14" xr3:uid="{47AEF2F0-4D81-A840-9E05-25C1058DE260}" name="  55-59" dataDxfId="311"/>
    <tableColumn id="15" xr3:uid="{B73A370B-DDFB-334F-8535-477B0AC0200C}" name="  60-64" dataDxfId="310"/>
    <tableColumn id="16" xr3:uid="{59C47EAB-A590-0F47-AF08-E31E5CEBE855}" name="  65-69" dataDxfId="309"/>
    <tableColumn id="17" xr3:uid="{EB4EF7DE-7D92-9640-A077-6DA38EBD3419}" name="  70-74" dataDxfId="308"/>
    <tableColumn id="18" xr3:uid="{810E9686-798D-574E-B489-A51832BE5F81}" name="  75-79" dataDxfId="307"/>
    <tableColumn id="19" xr3:uid="{6F70890B-E906-1F45-AC0E-AC2B3731EDBA}" name="  80-84" dataDxfId="306"/>
    <tableColumn id="20" xr3:uid="{72220C3D-5077-5D41-BDF1-72F2B5289A21}" name="  85-89" dataDxfId="305"/>
    <tableColumn id="21" xr3:uid="{7D54D024-56F9-E84A-9484-E14BAF0CB862}" name="  90+" dataDxfId="30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EBDAAF1-7978-D34D-868E-B0C54DB932ED}" name="Table3410111213181422" displayName="Table3410111213181422" ref="A1:T67" totalsRowShown="0" headerRowDxfId="303" dataDxfId="302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55DD245-391B-EE4F-ABCF-9649F4FD2FD1}" name="DHB" dataDxfId="301"/>
    <tableColumn id="2" xr3:uid="{75A15C84-FA96-9149-880D-14CC65BECFD1}" name="Group" dataDxfId="300"/>
    <tableColumn id="3" xr3:uid="{C81305F1-1ADD-EF42-9D0B-61791173CE7E}" name="Total" dataDxfId="299">
      <calculatedColumnFormula>Table34101112131814[[#This Row],[Total]]-Table341011121318[[#This Row],[Total]]</calculatedColumnFormula>
    </tableColumn>
    <tableColumn id="5" xr3:uid="{511D504B-9953-EE47-B521-70EA3E6B4E62}" name="  5-11" dataDxfId="298" dataCellStyle="Normal 3">
      <calculatedColumnFormula>Table34101112131814[[#This Row],[  5-11]]-Table341011121318[[#This Row],[  5-11]]</calculatedColumnFormula>
    </tableColumn>
    <tableColumn id="6" xr3:uid="{43DB697D-18CE-E440-A1A6-D959B1129A99}" name="  12-17" dataDxfId="297" dataCellStyle="Normal 3">
      <calculatedColumnFormula>Table34101112131814[[#This Row],[  12-17]]-Table341011121318[[#This Row],[  12-17]]</calculatedColumnFormula>
    </tableColumn>
    <tableColumn id="7" xr3:uid="{3C2E5DC8-A579-F149-89FC-6F574C5808D6}" name="  18-24" dataDxfId="296" dataCellStyle="Normal 3">
      <calculatedColumnFormula>Table34101112131814[[#This Row],[  18-24]]-Table341011121318[[#This Row],[  18-24]]</calculatedColumnFormula>
    </tableColumn>
    <tableColumn id="8" xr3:uid="{928E32CA-6283-564A-BB15-05C86B563208}" name="  25-29 " dataDxfId="295" dataCellStyle="Normal 3">
      <calculatedColumnFormula>Table34101112131814[[#This Row],[  25-29 ]]-Table341011121318[[#This Row],[  25-29 ]]</calculatedColumnFormula>
    </tableColumn>
    <tableColumn id="9" xr3:uid="{A70C808B-0A1C-F94B-84B9-1611D7CDE827}" name="  30-34" dataDxfId="294" dataCellStyle="Normal 3">
      <calculatedColumnFormula>Table34101112131814[[#This Row],[  30-34]]-Table341011121318[[#This Row],[  30-34]]</calculatedColumnFormula>
    </tableColumn>
    <tableColumn id="10" xr3:uid="{5FBE5990-8A08-4249-9698-B3605648BD15}" name="  35-39" dataDxfId="293" dataCellStyle="Normal 3">
      <calculatedColumnFormula>Table34101112131814[[#This Row],[  35-39]]-Table341011121318[[#This Row],[  35-39]]</calculatedColumnFormula>
    </tableColumn>
    <tableColumn id="11" xr3:uid="{545B84F2-3A2A-1840-807E-8C52FDD47D29}" name="  40-44" dataDxfId="292" dataCellStyle="Normal 3">
      <calculatedColumnFormula>Table34101112131814[[#This Row],[  40-44]]-Table341011121318[[#This Row],[  40-44]]</calculatedColumnFormula>
    </tableColumn>
    <tableColumn id="12" xr3:uid="{96156FF8-E299-3C4C-8404-0DAB4FBCE336}" name="  45-49 " dataDxfId="291" dataCellStyle="Normal 3">
      <calculatedColumnFormula>Table34101112131814[[#This Row],[  45-49 ]]-Table341011121318[[#This Row],[  45-49 ]]</calculatedColumnFormula>
    </tableColumn>
    <tableColumn id="13" xr3:uid="{84C9B00C-629F-214F-8D2C-2C1569E4264C}" name="  50-54" dataDxfId="290" dataCellStyle="Normal 3">
      <calculatedColumnFormula>Table34101112131814[[#This Row],[  50-54]]-Table341011121318[[#This Row],[  50-54]]</calculatedColumnFormula>
    </tableColumn>
    <tableColumn id="14" xr3:uid="{13B4173E-EB0B-C747-A1C9-611C585746F7}" name="  55-59" dataDxfId="289" dataCellStyle="Normal 3">
      <calculatedColumnFormula>Table34101112131814[[#This Row],[  55-59]]-Table341011121318[[#This Row],[  55-59]]</calculatedColumnFormula>
    </tableColumn>
    <tableColumn id="15" xr3:uid="{75836C38-7852-464F-9A64-B852E88992FC}" name="  60-64" dataDxfId="288" dataCellStyle="Normal 3">
      <calculatedColumnFormula>Table34101112131814[[#This Row],[  60-64]]-Table341011121318[[#This Row],[  60-64]]</calculatedColumnFormula>
    </tableColumn>
    <tableColumn id="16" xr3:uid="{35FB37D5-CCE1-EC41-B9FA-2BDF878FE63A}" name="  65-69" dataDxfId="287" dataCellStyle="Normal 3">
      <calculatedColumnFormula>Table34101112131814[[#This Row],[  65-69]]-Table341011121318[[#This Row],[  65-69]]</calculatedColumnFormula>
    </tableColumn>
    <tableColumn id="17" xr3:uid="{A3909DA5-30A5-C942-B534-D4691ACAE6E4}" name="  70-74" dataDxfId="286" dataCellStyle="Normal 3">
      <calculatedColumnFormula>Table34101112131814[[#This Row],[  70-74]]-Table341011121318[[#This Row],[  70-74]]</calculatedColumnFormula>
    </tableColumn>
    <tableColumn id="18" xr3:uid="{D1443928-DC50-B443-A7F0-F02CE6458BBF}" name="  75-79" dataDxfId="285" dataCellStyle="Normal 3">
      <calculatedColumnFormula>Table34101112131814[[#This Row],[  75-79]]-Table341011121318[[#This Row],[  75-79]]</calculatedColumnFormula>
    </tableColumn>
    <tableColumn id="19" xr3:uid="{46A3D20F-9C3F-8D41-8277-65588AB01D83}" name="  80-84" dataDxfId="284" dataCellStyle="Normal 3">
      <calculatedColumnFormula>Table34101112131814[[#This Row],[  80-84]]-Table341011121318[[#This Row],[  80-84]]</calculatedColumnFormula>
    </tableColumn>
    <tableColumn id="20" xr3:uid="{678319F1-E185-9347-94F6-AF3F95199576}" name="  85-89" dataDxfId="283" dataCellStyle="Normal 3">
      <calculatedColumnFormula>Table34101112131814[[#This Row],[  85-89]]-Table341011121318[[#This Row],[  85-89]]</calculatedColumnFormula>
    </tableColumn>
    <tableColumn id="21" xr3:uid="{46266629-B07D-4249-959B-26AD613B190E}" name="  90+" dataDxfId="282" dataCellStyle="Normal 3">
      <calculatedColumnFormula>Table34101112131814[[#This Row],[  90+]]-Table341011121318[[#This Row],[  90+]]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8425-1611-994B-AF47-E7234BCEE738}">
  <dimension ref="A1:U67"/>
  <sheetViews>
    <sheetView zoomScale="112" zoomScaleNormal="150" workbookViewId="0">
      <selection activeCell="I11" sqref="I11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430442</v>
      </c>
      <c r="D2" s="5">
        <v>15566</v>
      </c>
      <c r="E2" s="5">
        <v>29917</v>
      </c>
      <c r="F2" s="5">
        <v>46468</v>
      </c>
      <c r="G2" s="5">
        <v>45272</v>
      </c>
      <c r="H2" s="5">
        <v>46024</v>
      </c>
      <c r="I2" s="5">
        <v>38047</v>
      </c>
      <c r="J2" s="5">
        <v>32693</v>
      </c>
      <c r="K2" s="5">
        <v>30022</v>
      </c>
      <c r="L2" s="5">
        <v>30767</v>
      </c>
      <c r="M2" s="5">
        <v>27954</v>
      </c>
      <c r="N2" s="5">
        <v>24672</v>
      </c>
      <c r="O2" s="5">
        <v>20504</v>
      </c>
      <c r="P2" s="5">
        <v>16139</v>
      </c>
      <c r="Q2" s="5">
        <v>11337</v>
      </c>
      <c r="R2" s="5">
        <v>7943</v>
      </c>
      <c r="S2" s="5">
        <v>4352</v>
      </c>
      <c r="T2" s="5">
        <v>2765</v>
      </c>
    </row>
    <row r="3" spans="1:20" x14ac:dyDescent="0.2">
      <c r="A3" s="9" t="s">
        <v>1</v>
      </c>
      <c r="B3" s="6" t="s">
        <v>0</v>
      </c>
      <c r="C3" s="5">
        <v>214365</v>
      </c>
      <c r="D3" s="5">
        <v>7907</v>
      </c>
      <c r="E3" s="5">
        <v>15146</v>
      </c>
      <c r="F3" s="5">
        <v>22737</v>
      </c>
      <c r="G3" s="5">
        <v>23129</v>
      </c>
      <c r="H3" s="5">
        <v>23514</v>
      </c>
      <c r="I3" s="5">
        <v>19570</v>
      </c>
      <c r="J3" s="5">
        <v>16610</v>
      </c>
      <c r="K3" s="5">
        <v>14911</v>
      </c>
      <c r="L3" s="5">
        <v>15182</v>
      </c>
      <c r="M3" s="5">
        <v>13931</v>
      </c>
      <c r="N3" s="5">
        <v>12242</v>
      </c>
      <c r="O3" s="5">
        <v>10014</v>
      </c>
      <c r="P3" s="5">
        <v>7922</v>
      </c>
      <c r="Q3" s="5">
        <v>5220</v>
      </c>
      <c r="R3" s="5">
        <v>3567</v>
      </c>
      <c r="S3" s="5">
        <v>1834</v>
      </c>
      <c r="T3" s="5">
        <v>929</v>
      </c>
    </row>
    <row r="4" spans="1:20" x14ac:dyDescent="0.2">
      <c r="A4" s="9" t="s">
        <v>1</v>
      </c>
      <c r="B4" s="6" t="s">
        <v>23</v>
      </c>
      <c r="C4" s="5">
        <v>216077</v>
      </c>
      <c r="D4" s="5">
        <v>7659</v>
      </c>
      <c r="E4" s="5">
        <v>14771</v>
      </c>
      <c r="F4" s="5">
        <v>23731</v>
      </c>
      <c r="G4" s="5">
        <v>22143</v>
      </c>
      <c r="H4" s="5">
        <v>22510</v>
      </c>
      <c r="I4" s="5">
        <v>18477</v>
      </c>
      <c r="J4" s="5">
        <v>16083</v>
      </c>
      <c r="K4" s="5">
        <v>15111</v>
      </c>
      <c r="L4" s="5">
        <v>15585</v>
      </c>
      <c r="M4" s="5">
        <v>14023</v>
      </c>
      <c r="N4" s="5">
        <v>12430</v>
      </c>
      <c r="O4" s="5">
        <v>10490</v>
      </c>
      <c r="P4" s="5">
        <v>8217</v>
      </c>
      <c r="Q4" s="5">
        <v>6117</v>
      </c>
      <c r="R4" s="5">
        <v>4376</v>
      </c>
      <c r="S4" s="5">
        <v>2518</v>
      </c>
      <c r="T4" s="5">
        <v>1836</v>
      </c>
    </row>
    <row r="5" spans="1:20" ht="15" x14ac:dyDescent="0.2">
      <c r="A5" s="8" t="s">
        <v>2</v>
      </c>
      <c r="B5" s="6" t="s">
        <v>22</v>
      </c>
      <c r="C5" s="5">
        <v>206911</v>
      </c>
      <c r="D5" s="5">
        <v>4134</v>
      </c>
      <c r="E5" s="5">
        <v>15965</v>
      </c>
      <c r="F5" s="5">
        <v>17367</v>
      </c>
      <c r="G5" s="5">
        <v>14370</v>
      </c>
      <c r="H5" s="5">
        <v>16146</v>
      </c>
      <c r="I5" s="5">
        <v>14834</v>
      </c>
      <c r="J5" s="5">
        <v>13644</v>
      </c>
      <c r="K5" s="5">
        <v>14140</v>
      </c>
      <c r="L5" s="5">
        <v>15196</v>
      </c>
      <c r="M5" s="5">
        <v>14797</v>
      </c>
      <c r="N5" s="5">
        <v>15374</v>
      </c>
      <c r="O5" s="5">
        <v>14228</v>
      </c>
      <c r="P5" s="5">
        <v>13027</v>
      </c>
      <c r="Q5" s="5">
        <v>10485</v>
      </c>
      <c r="R5" s="5">
        <v>7402</v>
      </c>
      <c r="S5" s="5">
        <v>3717</v>
      </c>
      <c r="T5" s="5">
        <v>2085</v>
      </c>
    </row>
    <row r="6" spans="1:20" ht="15" x14ac:dyDescent="0.2">
      <c r="A6" s="8" t="s">
        <v>2</v>
      </c>
      <c r="B6" s="6" t="s">
        <v>0</v>
      </c>
      <c r="C6" s="5">
        <v>101234</v>
      </c>
      <c r="D6" s="5">
        <v>2107</v>
      </c>
      <c r="E6" s="5">
        <v>8163</v>
      </c>
      <c r="F6" s="5">
        <v>9272</v>
      </c>
      <c r="G6" s="5">
        <v>7492</v>
      </c>
      <c r="H6" s="5">
        <v>7987</v>
      </c>
      <c r="I6" s="5">
        <v>7236</v>
      </c>
      <c r="J6" s="5">
        <v>6689</v>
      </c>
      <c r="K6" s="5">
        <v>6872</v>
      </c>
      <c r="L6" s="5">
        <v>7317</v>
      </c>
      <c r="M6" s="5">
        <v>7025</v>
      </c>
      <c r="N6" s="5">
        <v>7316</v>
      </c>
      <c r="O6" s="5">
        <v>6763</v>
      </c>
      <c r="P6" s="5">
        <v>6236</v>
      </c>
      <c r="Q6" s="5">
        <v>4997</v>
      </c>
      <c r="R6" s="5">
        <v>3378</v>
      </c>
      <c r="S6" s="5">
        <v>1610</v>
      </c>
      <c r="T6" s="5">
        <v>774</v>
      </c>
    </row>
    <row r="7" spans="1:20" ht="15" x14ac:dyDescent="0.2">
      <c r="A7" s="8" t="s">
        <v>2</v>
      </c>
      <c r="B7" s="6" t="s">
        <v>23</v>
      </c>
      <c r="C7" s="5">
        <v>105677</v>
      </c>
      <c r="D7" s="5">
        <v>2027</v>
      </c>
      <c r="E7" s="5">
        <v>7802</v>
      </c>
      <c r="F7" s="5">
        <v>8095</v>
      </c>
      <c r="G7" s="5">
        <v>6878</v>
      </c>
      <c r="H7" s="5">
        <v>8159</v>
      </c>
      <c r="I7" s="5">
        <v>7598</v>
      </c>
      <c r="J7" s="5">
        <v>6955</v>
      </c>
      <c r="K7" s="5">
        <v>7268</v>
      </c>
      <c r="L7" s="5">
        <v>7879</v>
      </c>
      <c r="M7" s="5">
        <v>7772</v>
      </c>
      <c r="N7" s="5">
        <v>8058</v>
      </c>
      <c r="O7" s="5">
        <v>7465</v>
      </c>
      <c r="P7" s="5">
        <v>6791</v>
      </c>
      <c r="Q7" s="5">
        <v>5488</v>
      </c>
      <c r="R7" s="5">
        <v>4024</v>
      </c>
      <c r="S7" s="5">
        <v>2107</v>
      </c>
      <c r="T7" s="5">
        <v>1311</v>
      </c>
    </row>
    <row r="8" spans="1:20" x14ac:dyDescent="0.2">
      <c r="A8" s="9" t="s">
        <v>3</v>
      </c>
      <c r="B8" s="6" t="s">
        <v>22</v>
      </c>
      <c r="C8" s="14">
        <v>496065</v>
      </c>
      <c r="D8" s="14">
        <v>16571</v>
      </c>
      <c r="E8" s="14">
        <v>36854</v>
      </c>
      <c r="F8" s="14">
        <v>51037</v>
      </c>
      <c r="G8" s="14">
        <v>38549</v>
      </c>
      <c r="H8" s="14">
        <v>42874</v>
      </c>
      <c r="I8" s="14">
        <v>37963</v>
      </c>
      <c r="J8" s="14">
        <v>34694</v>
      </c>
      <c r="K8" s="14">
        <v>34348</v>
      </c>
      <c r="L8" s="14">
        <v>37797</v>
      </c>
      <c r="M8" s="14">
        <v>35214</v>
      </c>
      <c r="N8" s="14">
        <v>34236</v>
      </c>
      <c r="O8" s="14">
        <v>28987</v>
      </c>
      <c r="P8" s="14">
        <v>24847</v>
      </c>
      <c r="Q8" s="14">
        <v>18500</v>
      </c>
      <c r="R8" s="14">
        <v>12578</v>
      </c>
      <c r="S8" s="14">
        <v>6867</v>
      </c>
      <c r="T8" s="14">
        <v>4149</v>
      </c>
    </row>
    <row r="9" spans="1:20" x14ac:dyDescent="0.2">
      <c r="A9" s="9" t="s">
        <v>3</v>
      </c>
      <c r="B9" s="6" t="s">
        <v>0</v>
      </c>
      <c r="C9" s="14">
        <v>245585</v>
      </c>
      <c r="D9" s="14">
        <v>8414</v>
      </c>
      <c r="E9" s="14">
        <v>18881</v>
      </c>
      <c r="F9" s="14">
        <v>26466</v>
      </c>
      <c r="G9" s="14">
        <v>19842</v>
      </c>
      <c r="H9" s="14">
        <v>21442</v>
      </c>
      <c r="I9" s="14">
        <v>19120</v>
      </c>
      <c r="J9" s="14">
        <v>17184</v>
      </c>
      <c r="K9" s="14">
        <v>16820</v>
      </c>
      <c r="L9" s="14">
        <v>18579</v>
      </c>
      <c r="M9" s="14">
        <v>17342</v>
      </c>
      <c r="N9" s="14">
        <v>16799</v>
      </c>
      <c r="O9" s="14">
        <v>14125</v>
      </c>
      <c r="P9" s="14">
        <v>12000</v>
      </c>
      <c r="Q9" s="14">
        <v>8663</v>
      </c>
      <c r="R9" s="14">
        <v>5635</v>
      </c>
      <c r="S9" s="14">
        <v>2834</v>
      </c>
      <c r="T9" s="14">
        <v>1439</v>
      </c>
    </row>
    <row r="10" spans="1:20" x14ac:dyDescent="0.2">
      <c r="A10" s="9" t="s">
        <v>3</v>
      </c>
      <c r="B10" s="6" t="s">
        <v>23</v>
      </c>
      <c r="C10" s="14">
        <v>250480</v>
      </c>
      <c r="D10" s="14">
        <v>8157</v>
      </c>
      <c r="E10" s="14">
        <v>17973</v>
      </c>
      <c r="F10" s="14">
        <v>24571</v>
      </c>
      <c r="G10" s="14">
        <v>18707</v>
      </c>
      <c r="H10" s="14">
        <v>21432</v>
      </c>
      <c r="I10" s="14">
        <v>18843</v>
      </c>
      <c r="J10" s="14">
        <v>17510</v>
      </c>
      <c r="K10" s="14">
        <v>17528</v>
      </c>
      <c r="L10" s="14">
        <v>19218</v>
      </c>
      <c r="M10" s="14">
        <v>17872</v>
      </c>
      <c r="N10" s="14">
        <v>17437</v>
      </c>
      <c r="O10" s="14">
        <v>14862</v>
      </c>
      <c r="P10" s="14">
        <v>12847</v>
      </c>
      <c r="Q10" s="14">
        <v>9837</v>
      </c>
      <c r="R10" s="14">
        <v>6943</v>
      </c>
      <c r="S10" s="14">
        <v>4033</v>
      </c>
      <c r="T10" s="14">
        <v>2710</v>
      </c>
    </row>
    <row r="11" spans="1:20" x14ac:dyDescent="0.2">
      <c r="A11" s="9" t="s">
        <v>4</v>
      </c>
      <c r="B11" s="6" t="s">
        <v>22</v>
      </c>
      <c r="C11" s="15">
        <v>276469</v>
      </c>
      <c r="D11" s="15">
        <v>11406</v>
      </c>
      <c r="E11" s="15">
        <v>20501</v>
      </c>
      <c r="F11" s="15">
        <v>32172</v>
      </c>
      <c r="G11" s="15">
        <v>25659</v>
      </c>
      <c r="H11" s="15">
        <v>24798</v>
      </c>
      <c r="I11" s="15">
        <v>21285</v>
      </c>
      <c r="J11" s="15">
        <v>20269</v>
      </c>
      <c r="K11" s="15">
        <v>20229</v>
      </c>
      <c r="L11" s="15">
        <v>20596</v>
      </c>
      <c r="M11" s="15">
        <v>19120</v>
      </c>
      <c r="N11" s="15">
        <v>16757</v>
      </c>
      <c r="O11" s="15">
        <v>13190</v>
      </c>
      <c r="P11" s="15">
        <v>11195</v>
      </c>
      <c r="Q11" s="15">
        <v>8632</v>
      </c>
      <c r="R11" s="15">
        <v>5772</v>
      </c>
      <c r="S11" s="15">
        <v>3079</v>
      </c>
      <c r="T11" s="15">
        <v>1809</v>
      </c>
    </row>
    <row r="12" spans="1:20" x14ac:dyDescent="0.2">
      <c r="A12" s="9" t="s">
        <v>4</v>
      </c>
      <c r="B12" s="6" t="s">
        <v>0</v>
      </c>
      <c r="C12" s="15">
        <v>134151</v>
      </c>
      <c r="D12" s="15">
        <v>5788</v>
      </c>
      <c r="E12" s="15">
        <v>10436</v>
      </c>
      <c r="F12" s="15">
        <v>15210</v>
      </c>
      <c r="G12" s="15">
        <v>12737</v>
      </c>
      <c r="H12" s="15">
        <v>12246</v>
      </c>
      <c r="I12" s="15">
        <v>10434</v>
      </c>
      <c r="J12" s="15">
        <v>9963</v>
      </c>
      <c r="K12" s="15">
        <v>9890</v>
      </c>
      <c r="L12" s="15">
        <v>9889</v>
      </c>
      <c r="M12" s="15">
        <v>9347</v>
      </c>
      <c r="N12" s="15">
        <v>8182</v>
      </c>
      <c r="O12" s="15">
        <v>6302</v>
      </c>
      <c r="P12" s="15">
        <v>5299</v>
      </c>
      <c r="Q12" s="15">
        <v>4043</v>
      </c>
      <c r="R12" s="15">
        <v>2526</v>
      </c>
      <c r="S12" s="15">
        <v>1228</v>
      </c>
      <c r="T12" s="15">
        <v>631</v>
      </c>
    </row>
    <row r="13" spans="1:20" x14ac:dyDescent="0.2">
      <c r="A13" s="9" t="s">
        <v>4</v>
      </c>
      <c r="B13" s="6" t="s">
        <v>23</v>
      </c>
      <c r="C13" s="15">
        <v>142318</v>
      </c>
      <c r="D13" s="15">
        <v>5618</v>
      </c>
      <c r="E13" s="15">
        <v>10065</v>
      </c>
      <c r="F13" s="15">
        <v>16962</v>
      </c>
      <c r="G13" s="15">
        <v>12922</v>
      </c>
      <c r="H13" s="15">
        <v>12552</v>
      </c>
      <c r="I13" s="15">
        <v>10851</v>
      </c>
      <c r="J13" s="15">
        <v>10306</v>
      </c>
      <c r="K13" s="15">
        <v>10339</v>
      </c>
      <c r="L13" s="15">
        <v>10707</v>
      </c>
      <c r="M13" s="15">
        <v>9773</v>
      </c>
      <c r="N13" s="15">
        <v>8575</v>
      </c>
      <c r="O13" s="15">
        <v>6888</v>
      </c>
      <c r="P13" s="15">
        <v>5896</v>
      </c>
      <c r="Q13" s="15">
        <v>4589</v>
      </c>
      <c r="R13" s="15">
        <v>3246</v>
      </c>
      <c r="S13" s="15">
        <v>1851</v>
      </c>
      <c r="T13" s="15">
        <v>1178</v>
      </c>
    </row>
    <row r="14" spans="1:20" x14ac:dyDescent="0.2">
      <c r="A14" s="9" t="s">
        <v>5</v>
      </c>
      <c r="B14" s="6" t="s">
        <v>22</v>
      </c>
      <c r="C14" s="5">
        <v>478562</v>
      </c>
      <c r="D14" s="5">
        <v>18210</v>
      </c>
      <c r="E14" s="5">
        <v>43444</v>
      </c>
      <c r="F14" s="5">
        <v>53155</v>
      </c>
      <c r="G14" s="5">
        <v>41840</v>
      </c>
      <c r="H14" s="5">
        <v>45987</v>
      </c>
      <c r="I14" s="5">
        <v>41168</v>
      </c>
      <c r="J14" s="5">
        <v>37096</v>
      </c>
      <c r="K14" s="5">
        <v>33546</v>
      </c>
      <c r="L14" s="5">
        <v>34815</v>
      </c>
      <c r="M14" s="5">
        <v>31987</v>
      </c>
      <c r="N14" s="5">
        <v>28494</v>
      </c>
      <c r="O14" s="5">
        <v>22924</v>
      </c>
      <c r="P14" s="5">
        <v>18174</v>
      </c>
      <c r="Q14" s="5">
        <v>12846</v>
      </c>
      <c r="R14" s="5">
        <v>8401</v>
      </c>
      <c r="S14" s="5">
        <v>4300</v>
      </c>
      <c r="T14" s="5">
        <v>2175</v>
      </c>
    </row>
    <row r="15" spans="1:20" x14ac:dyDescent="0.2">
      <c r="A15" s="9" t="s">
        <v>5</v>
      </c>
      <c r="B15" s="6" t="s">
        <v>0</v>
      </c>
      <c r="C15" s="5">
        <v>237701</v>
      </c>
      <c r="D15" s="5">
        <v>9169</v>
      </c>
      <c r="E15" s="5">
        <v>22186</v>
      </c>
      <c r="F15" s="5">
        <v>27385</v>
      </c>
      <c r="G15" s="5">
        <v>21392</v>
      </c>
      <c r="H15" s="5">
        <v>22849</v>
      </c>
      <c r="I15" s="5">
        <v>20422</v>
      </c>
      <c r="J15" s="5">
        <v>18516</v>
      </c>
      <c r="K15" s="5">
        <v>16476</v>
      </c>
      <c r="L15" s="5">
        <v>17105</v>
      </c>
      <c r="M15" s="5">
        <v>15925</v>
      </c>
      <c r="N15" s="5">
        <v>13969</v>
      </c>
      <c r="O15" s="5">
        <v>11116</v>
      </c>
      <c r="P15" s="5">
        <v>8806</v>
      </c>
      <c r="Q15" s="5">
        <v>6052</v>
      </c>
      <c r="R15" s="5">
        <v>3783</v>
      </c>
      <c r="S15" s="5">
        <v>1800</v>
      </c>
      <c r="T15" s="5">
        <v>750</v>
      </c>
    </row>
    <row r="16" spans="1:20" x14ac:dyDescent="0.2">
      <c r="A16" s="9" t="s">
        <v>5</v>
      </c>
      <c r="B16" s="6" t="s">
        <v>23</v>
      </c>
      <c r="C16" s="5">
        <v>240861</v>
      </c>
      <c r="D16" s="5">
        <v>9041</v>
      </c>
      <c r="E16" s="5">
        <v>21258</v>
      </c>
      <c r="F16" s="5">
        <v>25770</v>
      </c>
      <c r="G16" s="5">
        <v>20448</v>
      </c>
      <c r="H16" s="5">
        <v>23138</v>
      </c>
      <c r="I16" s="5">
        <v>20746</v>
      </c>
      <c r="J16" s="5">
        <v>18580</v>
      </c>
      <c r="K16" s="5">
        <v>17070</v>
      </c>
      <c r="L16" s="5">
        <v>17710</v>
      </c>
      <c r="M16" s="5">
        <v>16062</v>
      </c>
      <c r="N16" s="5">
        <v>14525</v>
      </c>
      <c r="O16" s="5">
        <v>11808</v>
      </c>
      <c r="P16" s="5">
        <v>9368</v>
      </c>
      <c r="Q16" s="5">
        <v>6794</v>
      </c>
      <c r="R16" s="5">
        <v>4618</v>
      </c>
      <c r="S16" s="5">
        <v>2500</v>
      </c>
      <c r="T16" s="5">
        <v>1425</v>
      </c>
    </row>
    <row r="17" spans="1:20" x14ac:dyDescent="0.2">
      <c r="A17" s="12" t="s">
        <v>6</v>
      </c>
      <c r="B17" s="6" t="s">
        <v>22</v>
      </c>
      <c r="C17" s="5">
        <v>142886</v>
      </c>
      <c r="D17" s="5">
        <v>3387</v>
      </c>
      <c r="E17" s="5">
        <v>11845</v>
      </c>
      <c r="F17" s="5">
        <v>12746</v>
      </c>
      <c r="G17" s="5">
        <v>10060</v>
      </c>
      <c r="H17" s="5">
        <v>11104</v>
      </c>
      <c r="I17" s="5">
        <v>9688</v>
      </c>
      <c r="J17" s="5">
        <v>9311</v>
      </c>
      <c r="K17" s="5">
        <v>9905</v>
      </c>
      <c r="L17" s="5">
        <v>10814</v>
      </c>
      <c r="M17" s="5">
        <v>10533</v>
      </c>
      <c r="N17" s="5">
        <v>10885</v>
      </c>
      <c r="O17" s="5">
        <v>9450</v>
      </c>
      <c r="P17" s="5">
        <v>8730</v>
      </c>
      <c r="Q17" s="5">
        <v>6515</v>
      </c>
      <c r="R17" s="5">
        <v>4381</v>
      </c>
      <c r="S17" s="5">
        <v>2266</v>
      </c>
      <c r="T17" s="5">
        <v>1266</v>
      </c>
    </row>
    <row r="18" spans="1:20" x14ac:dyDescent="0.2">
      <c r="A18" s="9" t="s">
        <v>6</v>
      </c>
      <c r="B18" s="6" t="s">
        <v>0</v>
      </c>
      <c r="C18" s="5">
        <v>70963</v>
      </c>
      <c r="D18" s="5">
        <v>1713</v>
      </c>
      <c r="E18" s="5">
        <v>5845</v>
      </c>
      <c r="F18" s="5">
        <v>6911</v>
      </c>
      <c r="G18" s="5">
        <v>5507</v>
      </c>
      <c r="H18" s="5">
        <v>5832</v>
      </c>
      <c r="I18" s="5">
        <v>5014</v>
      </c>
      <c r="J18" s="5">
        <v>4733</v>
      </c>
      <c r="K18" s="5">
        <v>4828</v>
      </c>
      <c r="L18" s="5">
        <v>5165</v>
      </c>
      <c r="M18" s="5">
        <v>5035</v>
      </c>
      <c r="N18" s="5">
        <v>5246</v>
      </c>
      <c r="O18" s="5">
        <v>4519</v>
      </c>
      <c r="P18" s="5">
        <v>4155</v>
      </c>
      <c r="Q18" s="5">
        <v>3088</v>
      </c>
      <c r="R18" s="5">
        <v>1970</v>
      </c>
      <c r="S18" s="5">
        <v>945</v>
      </c>
      <c r="T18" s="5">
        <v>457</v>
      </c>
    </row>
    <row r="19" spans="1:20" x14ac:dyDescent="0.2">
      <c r="A19" s="9" t="s">
        <v>6</v>
      </c>
      <c r="B19" s="6" t="s">
        <v>23</v>
      </c>
      <c r="C19" s="5">
        <v>71923</v>
      </c>
      <c r="D19" s="5">
        <v>1674</v>
      </c>
      <c r="E19" s="5">
        <v>6000</v>
      </c>
      <c r="F19" s="5">
        <v>5835</v>
      </c>
      <c r="G19" s="5">
        <v>4553</v>
      </c>
      <c r="H19" s="5">
        <v>5272</v>
      </c>
      <c r="I19" s="5">
        <v>4674</v>
      </c>
      <c r="J19" s="5">
        <v>4578</v>
      </c>
      <c r="K19" s="5">
        <v>5077</v>
      </c>
      <c r="L19" s="5">
        <v>5649</v>
      </c>
      <c r="M19" s="5">
        <v>5498</v>
      </c>
      <c r="N19" s="5">
        <v>5639</v>
      </c>
      <c r="O19" s="5">
        <v>4931</v>
      </c>
      <c r="P19" s="5">
        <v>4575</v>
      </c>
      <c r="Q19" s="5">
        <v>3427</v>
      </c>
      <c r="R19" s="5">
        <v>2411</v>
      </c>
      <c r="S19" s="5">
        <v>1321</v>
      </c>
      <c r="T19" s="5">
        <v>809</v>
      </c>
    </row>
    <row r="20" spans="1:20" x14ac:dyDescent="0.2">
      <c r="A20" s="9" t="s">
        <v>7</v>
      </c>
      <c r="B20" s="6" t="s">
        <v>22</v>
      </c>
      <c r="C20" s="5">
        <v>129762</v>
      </c>
      <c r="D20" s="5">
        <v>5252</v>
      </c>
      <c r="E20" s="5">
        <v>10267</v>
      </c>
      <c r="F20" s="5">
        <v>11625</v>
      </c>
      <c r="G20" s="5">
        <v>9520</v>
      </c>
      <c r="H20" s="5">
        <v>11627</v>
      </c>
      <c r="I20" s="5">
        <v>10998</v>
      </c>
      <c r="J20" s="5">
        <v>10058</v>
      </c>
      <c r="K20" s="5">
        <v>9564</v>
      </c>
      <c r="L20" s="5">
        <v>10000</v>
      </c>
      <c r="M20" s="5">
        <v>9165</v>
      </c>
      <c r="N20" s="5">
        <v>8909</v>
      </c>
      <c r="O20" s="5">
        <v>7120</v>
      </c>
      <c r="P20" s="5">
        <v>5706</v>
      </c>
      <c r="Q20" s="5">
        <v>4312</v>
      </c>
      <c r="R20" s="5">
        <v>3056</v>
      </c>
      <c r="S20" s="5">
        <v>1629</v>
      </c>
      <c r="T20" s="5">
        <v>954</v>
      </c>
    </row>
    <row r="21" spans="1:20" x14ac:dyDescent="0.2">
      <c r="A21" s="9" t="s">
        <v>7</v>
      </c>
      <c r="B21" s="6" t="s">
        <v>0</v>
      </c>
      <c r="C21" s="5">
        <v>64076</v>
      </c>
      <c r="D21" s="5">
        <v>2626</v>
      </c>
      <c r="E21" s="5">
        <v>5270</v>
      </c>
      <c r="F21" s="5">
        <v>6099</v>
      </c>
      <c r="G21" s="5">
        <v>4866</v>
      </c>
      <c r="H21" s="5">
        <v>5657</v>
      </c>
      <c r="I21" s="5">
        <v>5411</v>
      </c>
      <c r="J21" s="5">
        <v>5038</v>
      </c>
      <c r="K21" s="5">
        <v>4746</v>
      </c>
      <c r="L21" s="5">
        <v>4965</v>
      </c>
      <c r="M21" s="5">
        <v>4514</v>
      </c>
      <c r="N21" s="5">
        <v>4376</v>
      </c>
      <c r="O21" s="5">
        <v>3458</v>
      </c>
      <c r="P21" s="5">
        <v>2760</v>
      </c>
      <c r="Q21" s="5">
        <v>2013</v>
      </c>
      <c r="R21" s="5">
        <v>1329</v>
      </c>
      <c r="S21" s="5">
        <v>628</v>
      </c>
      <c r="T21" s="5">
        <v>320</v>
      </c>
    </row>
    <row r="22" spans="1:20" x14ac:dyDescent="0.2">
      <c r="A22" s="9" t="s">
        <v>7</v>
      </c>
      <c r="B22" s="6" t="s">
        <v>23</v>
      </c>
      <c r="C22" s="5">
        <v>65686</v>
      </c>
      <c r="D22" s="5">
        <v>2626</v>
      </c>
      <c r="E22" s="5">
        <v>4997</v>
      </c>
      <c r="F22" s="5">
        <v>5526</v>
      </c>
      <c r="G22" s="5">
        <v>4654</v>
      </c>
      <c r="H22" s="5">
        <v>5970</v>
      </c>
      <c r="I22" s="5">
        <v>5587</v>
      </c>
      <c r="J22" s="5">
        <v>5020</v>
      </c>
      <c r="K22" s="5">
        <v>4818</v>
      </c>
      <c r="L22" s="5">
        <v>5035</v>
      </c>
      <c r="M22" s="5">
        <v>4651</v>
      </c>
      <c r="N22" s="5">
        <v>4533</v>
      </c>
      <c r="O22" s="5">
        <v>3662</v>
      </c>
      <c r="P22" s="5">
        <v>2946</v>
      </c>
      <c r="Q22" s="5">
        <v>2299</v>
      </c>
      <c r="R22" s="5">
        <v>1727</v>
      </c>
      <c r="S22" s="5">
        <v>1001</v>
      </c>
      <c r="T22" s="5">
        <v>634</v>
      </c>
    </row>
    <row r="23" spans="1:20" x14ac:dyDescent="0.2">
      <c r="A23" s="9" t="s">
        <v>8</v>
      </c>
      <c r="B23" s="6" t="s">
        <v>22</v>
      </c>
      <c r="C23" s="5">
        <v>87584</v>
      </c>
      <c r="D23" s="5">
        <v>2008</v>
      </c>
      <c r="E23" s="5">
        <v>7562</v>
      </c>
      <c r="F23" s="5">
        <v>7891</v>
      </c>
      <c r="G23" s="5">
        <v>6128</v>
      </c>
      <c r="H23" s="5">
        <v>6858</v>
      </c>
      <c r="I23" s="5">
        <v>6343</v>
      </c>
      <c r="J23" s="5">
        <v>5885</v>
      </c>
      <c r="K23" s="5">
        <v>6138</v>
      </c>
      <c r="L23" s="5">
        <v>6759</v>
      </c>
      <c r="M23" s="5">
        <v>6615</v>
      </c>
      <c r="N23" s="5">
        <v>6705</v>
      </c>
      <c r="O23" s="5">
        <v>5757</v>
      </c>
      <c r="P23" s="5">
        <v>5036</v>
      </c>
      <c r="Q23" s="5">
        <v>3642</v>
      </c>
      <c r="R23" s="5">
        <v>2435</v>
      </c>
      <c r="S23" s="5">
        <v>1178</v>
      </c>
      <c r="T23" s="5">
        <v>644</v>
      </c>
    </row>
    <row r="24" spans="1:20" x14ac:dyDescent="0.2">
      <c r="A24" s="9" t="s">
        <v>8</v>
      </c>
      <c r="B24" s="6" t="s">
        <v>0</v>
      </c>
      <c r="C24" s="5">
        <v>42941</v>
      </c>
      <c r="D24" s="5">
        <v>1044</v>
      </c>
      <c r="E24" s="5">
        <v>3902</v>
      </c>
      <c r="F24" s="5">
        <v>4161</v>
      </c>
      <c r="G24" s="5">
        <v>3127</v>
      </c>
      <c r="H24" s="5">
        <v>3391</v>
      </c>
      <c r="I24" s="5">
        <v>3041</v>
      </c>
      <c r="J24" s="5">
        <v>2831</v>
      </c>
      <c r="K24" s="5">
        <v>2950</v>
      </c>
      <c r="L24" s="5">
        <v>3277</v>
      </c>
      <c r="M24" s="5">
        <v>3123</v>
      </c>
      <c r="N24" s="5">
        <v>3254</v>
      </c>
      <c r="O24" s="5">
        <v>2793</v>
      </c>
      <c r="P24" s="5">
        <v>2435</v>
      </c>
      <c r="Q24" s="5">
        <v>1757</v>
      </c>
      <c r="R24" s="5">
        <v>1143</v>
      </c>
      <c r="S24" s="5">
        <v>485</v>
      </c>
      <c r="T24" s="5">
        <v>227</v>
      </c>
    </row>
    <row r="25" spans="1:20" x14ac:dyDescent="0.2">
      <c r="A25" s="9" t="s">
        <v>8</v>
      </c>
      <c r="B25" s="6" t="s">
        <v>23</v>
      </c>
      <c r="C25" s="5">
        <v>44643</v>
      </c>
      <c r="D25" s="5">
        <v>964</v>
      </c>
      <c r="E25" s="5">
        <v>3660</v>
      </c>
      <c r="F25" s="5">
        <v>3730</v>
      </c>
      <c r="G25" s="5">
        <v>3001</v>
      </c>
      <c r="H25" s="5">
        <v>3467</v>
      </c>
      <c r="I25" s="5">
        <v>3302</v>
      </c>
      <c r="J25" s="5">
        <v>3054</v>
      </c>
      <c r="K25" s="5">
        <v>3188</v>
      </c>
      <c r="L25" s="5">
        <v>3482</v>
      </c>
      <c r="M25" s="5">
        <v>3492</v>
      </c>
      <c r="N25" s="5">
        <v>3451</v>
      </c>
      <c r="O25" s="5">
        <v>2964</v>
      </c>
      <c r="P25" s="5">
        <v>2601</v>
      </c>
      <c r="Q25" s="5">
        <v>1885</v>
      </c>
      <c r="R25" s="5">
        <v>1292</v>
      </c>
      <c r="S25" s="5">
        <v>693</v>
      </c>
      <c r="T25" s="5">
        <v>417</v>
      </c>
    </row>
    <row r="26" spans="1:20" x14ac:dyDescent="0.2">
      <c r="A26" s="9" t="s">
        <v>9</v>
      </c>
      <c r="B26" s="6" t="s">
        <v>22</v>
      </c>
      <c r="C26" s="5">
        <v>149092</v>
      </c>
      <c r="D26" s="5">
        <v>4430</v>
      </c>
      <c r="E26" s="5">
        <v>12226</v>
      </c>
      <c r="F26" s="5">
        <v>15203</v>
      </c>
      <c r="G26" s="5">
        <v>10902</v>
      </c>
      <c r="H26" s="5">
        <v>11244</v>
      </c>
      <c r="I26" s="5">
        <v>10096</v>
      </c>
      <c r="J26" s="5">
        <v>9411</v>
      </c>
      <c r="K26" s="5">
        <v>9468</v>
      </c>
      <c r="L26" s="5">
        <v>10652</v>
      </c>
      <c r="M26" s="5">
        <v>10716</v>
      </c>
      <c r="N26" s="5">
        <v>11257</v>
      </c>
      <c r="O26" s="5">
        <v>9684</v>
      </c>
      <c r="P26" s="5">
        <v>8680</v>
      </c>
      <c r="Q26" s="5">
        <v>6757</v>
      </c>
      <c r="R26" s="5">
        <v>4643</v>
      </c>
      <c r="S26" s="5">
        <v>2393</v>
      </c>
      <c r="T26" s="5">
        <v>1330</v>
      </c>
    </row>
    <row r="27" spans="1:20" x14ac:dyDescent="0.2">
      <c r="A27" s="9" t="s">
        <v>9</v>
      </c>
      <c r="B27" s="6" t="s">
        <v>0</v>
      </c>
      <c r="C27" s="5">
        <v>72613</v>
      </c>
      <c r="D27" s="5">
        <v>2266</v>
      </c>
      <c r="E27" s="5">
        <v>6203</v>
      </c>
      <c r="F27" s="5">
        <v>7648</v>
      </c>
      <c r="G27" s="5">
        <v>5613</v>
      </c>
      <c r="H27" s="5">
        <v>5496</v>
      </c>
      <c r="I27" s="5">
        <v>4941</v>
      </c>
      <c r="J27" s="5">
        <v>4611</v>
      </c>
      <c r="K27" s="5">
        <v>4549</v>
      </c>
      <c r="L27" s="5">
        <v>5064</v>
      </c>
      <c r="M27" s="5">
        <v>5151</v>
      </c>
      <c r="N27" s="5">
        <v>5446</v>
      </c>
      <c r="O27" s="5">
        <v>4650</v>
      </c>
      <c r="P27" s="5">
        <v>4102</v>
      </c>
      <c r="Q27" s="5">
        <v>3263</v>
      </c>
      <c r="R27" s="5">
        <v>2143</v>
      </c>
      <c r="S27" s="5">
        <v>1006</v>
      </c>
      <c r="T27" s="5">
        <v>461</v>
      </c>
    </row>
    <row r="28" spans="1:20" x14ac:dyDescent="0.2">
      <c r="A28" s="9" t="s">
        <v>9</v>
      </c>
      <c r="B28" s="6" t="s">
        <v>23</v>
      </c>
      <c r="C28" s="5">
        <v>76479</v>
      </c>
      <c r="D28" s="5">
        <v>2164</v>
      </c>
      <c r="E28" s="5">
        <v>6023</v>
      </c>
      <c r="F28" s="5">
        <v>7555</v>
      </c>
      <c r="G28" s="5">
        <v>5289</v>
      </c>
      <c r="H28" s="5">
        <v>5748</v>
      </c>
      <c r="I28" s="5">
        <v>5155</v>
      </c>
      <c r="J28" s="5">
        <v>4800</v>
      </c>
      <c r="K28" s="5">
        <v>4919</v>
      </c>
      <c r="L28" s="5">
        <v>5588</v>
      </c>
      <c r="M28" s="5">
        <v>5565</v>
      </c>
      <c r="N28" s="5">
        <v>5811</v>
      </c>
      <c r="O28" s="5">
        <v>5034</v>
      </c>
      <c r="P28" s="5">
        <v>4578</v>
      </c>
      <c r="Q28" s="5">
        <v>3494</v>
      </c>
      <c r="R28" s="5">
        <v>2500</v>
      </c>
      <c r="S28" s="5">
        <v>1387</v>
      </c>
      <c r="T28" s="5">
        <v>869</v>
      </c>
    </row>
    <row r="29" spans="1:20" x14ac:dyDescent="0.2">
      <c r="A29" s="9" t="s">
        <v>10</v>
      </c>
      <c r="B29" s="6" t="s">
        <v>22</v>
      </c>
      <c r="C29" s="5">
        <v>132731</v>
      </c>
      <c r="D29" s="5">
        <v>3359</v>
      </c>
      <c r="E29" s="5">
        <v>9538</v>
      </c>
      <c r="F29" s="5">
        <v>9804</v>
      </c>
      <c r="G29" s="5">
        <v>7893</v>
      </c>
      <c r="H29" s="5">
        <v>9096</v>
      </c>
      <c r="I29" s="5">
        <v>8945</v>
      </c>
      <c r="J29" s="5">
        <v>8457</v>
      </c>
      <c r="K29" s="5">
        <v>9281</v>
      </c>
      <c r="L29" s="5">
        <v>10464</v>
      </c>
      <c r="M29" s="5">
        <v>10617</v>
      </c>
      <c r="N29" s="5">
        <v>10929</v>
      </c>
      <c r="O29" s="5">
        <v>9926</v>
      </c>
      <c r="P29" s="5">
        <v>9267</v>
      </c>
      <c r="Q29" s="5">
        <v>7076</v>
      </c>
      <c r="R29" s="5">
        <v>4523</v>
      </c>
      <c r="S29" s="5">
        <v>2319</v>
      </c>
      <c r="T29" s="5">
        <v>1237</v>
      </c>
    </row>
    <row r="30" spans="1:20" x14ac:dyDescent="0.2">
      <c r="A30" s="9" t="s">
        <v>10</v>
      </c>
      <c r="B30" s="6" t="s">
        <v>0</v>
      </c>
      <c r="C30" s="5">
        <v>67036</v>
      </c>
      <c r="D30" s="5">
        <v>1691</v>
      </c>
      <c r="E30" s="5">
        <v>4885</v>
      </c>
      <c r="F30" s="5">
        <v>5511</v>
      </c>
      <c r="G30" s="5">
        <v>4428</v>
      </c>
      <c r="H30" s="5">
        <v>4779</v>
      </c>
      <c r="I30" s="5">
        <v>4592</v>
      </c>
      <c r="J30" s="5">
        <v>4261</v>
      </c>
      <c r="K30" s="5">
        <v>4624</v>
      </c>
      <c r="L30" s="5">
        <v>5094</v>
      </c>
      <c r="M30" s="5">
        <v>5190</v>
      </c>
      <c r="N30" s="5">
        <v>5345</v>
      </c>
      <c r="O30" s="5">
        <v>4865</v>
      </c>
      <c r="P30" s="5">
        <v>4553</v>
      </c>
      <c r="Q30" s="5">
        <v>3527</v>
      </c>
      <c r="R30" s="5">
        <v>2189</v>
      </c>
      <c r="S30" s="5">
        <v>1026</v>
      </c>
      <c r="T30" s="5">
        <v>476</v>
      </c>
    </row>
    <row r="31" spans="1:20" x14ac:dyDescent="0.2">
      <c r="A31" s="9" t="s">
        <v>10</v>
      </c>
      <c r="B31" s="6" t="s">
        <v>23</v>
      </c>
      <c r="C31" s="5">
        <v>65695</v>
      </c>
      <c r="D31" s="5">
        <v>1668</v>
      </c>
      <c r="E31" s="5">
        <v>4653</v>
      </c>
      <c r="F31" s="5">
        <v>4293</v>
      </c>
      <c r="G31" s="5">
        <v>3465</v>
      </c>
      <c r="H31" s="5">
        <v>4317</v>
      </c>
      <c r="I31" s="5">
        <v>4353</v>
      </c>
      <c r="J31" s="5">
        <v>4196</v>
      </c>
      <c r="K31" s="5">
        <v>4657</v>
      </c>
      <c r="L31" s="5">
        <v>5370</v>
      </c>
      <c r="M31" s="5">
        <v>5427</v>
      </c>
      <c r="N31" s="5">
        <v>5584</v>
      </c>
      <c r="O31" s="5">
        <v>5061</v>
      </c>
      <c r="P31" s="5">
        <v>4714</v>
      </c>
      <c r="Q31" s="5">
        <v>3549</v>
      </c>
      <c r="R31" s="5">
        <v>2334</v>
      </c>
      <c r="S31" s="5">
        <v>1293</v>
      </c>
      <c r="T31" s="5">
        <v>761</v>
      </c>
    </row>
    <row r="32" spans="1:20" x14ac:dyDescent="0.2">
      <c r="A32" s="9" t="s">
        <v>11</v>
      </c>
      <c r="B32" s="6" t="s">
        <v>22</v>
      </c>
      <c r="C32" s="5">
        <v>144420</v>
      </c>
      <c r="D32" s="5">
        <v>2644</v>
      </c>
      <c r="E32" s="5">
        <v>11361</v>
      </c>
      <c r="F32" s="5">
        <v>11195</v>
      </c>
      <c r="G32" s="5">
        <v>8274</v>
      </c>
      <c r="H32" s="5">
        <v>9606</v>
      </c>
      <c r="I32" s="5">
        <v>9261</v>
      </c>
      <c r="J32" s="5">
        <v>8321</v>
      </c>
      <c r="K32" s="5">
        <v>9318</v>
      </c>
      <c r="L32" s="5">
        <v>11121</v>
      </c>
      <c r="M32" s="5">
        <v>11867</v>
      </c>
      <c r="N32" s="5">
        <v>12739</v>
      </c>
      <c r="O32" s="5">
        <v>11808</v>
      </c>
      <c r="P32" s="5">
        <v>10655</v>
      </c>
      <c r="Q32" s="5">
        <v>7743</v>
      </c>
      <c r="R32" s="5">
        <v>4855</v>
      </c>
      <c r="S32" s="5">
        <v>2417</v>
      </c>
      <c r="T32" s="5">
        <v>1235</v>
      </c>
    </row>
    <row r="33" spans="1:20" x14ac:dyDescent="0.2">
      <c r="A33" s="9" t="s">
        <v>11</v>
      </c>
      <c r="B33" s="6" t="s">
        <v>0</v>
      </c>
      <c r="C33" s="5">
        <v>70811</v>
      </c>
      <c r="D33" s="5">
        <v>1311</v>
      </c>
      <c r="E33" s="5">
        <v>5774</v>
      </c>
      <c r="F33" s="5">
        <v>5761</v>
      </c>
      <c r="G33" s="5">
        <v>4175</v>
      </c>
      <c r="H33" s="5">
        <v>4601</v>
      </c>
      <c r="I33" s="5">
        <v>4569</v>
      </c>
      <c r="J33" s="5">
        <v>4023</v>
      </c>
      <c r="K33" s="5">
        <v>4441</v>
      </c>
      <c r="L33" s="5">
        <v>5314</v>
      </c>
      <c r="M33" s="5">
        <v>5683</v>
      </c>
      <c r="N33" s="5">
        <v>6125</v>
      </c>
      <c r="O33" s="5">
        <v>5848</v>
      </c>
      <c r="P33" s="5">
        <v>5341</v>
      </c>
      <c r="Q33" s="5">
        <v>3923</v>
      </c>
      <c r="R33" s="5">
        <v>2366</v>
      </c>
      <c r="S33" s="5">
        <v>1083</v>
      </c>
      <c r="T33" s="5">
        <v>473</v>
      </c>
    </row>
    <row r="34" spans="1:20" x14ac:dyDescent="0.2">
      <c r="A34" s="9" t="s">
        <v>11</v>
      </c>
      <c r="B34" s="6" t="s">
        <v>23</v>
      </c>
      <c r="C34" s="5">
        <v>73609</v>
      </c>
      <c r="D34" s="5">
        <v>1333</v>
      </c>
      <c r="E34" s="5">
        <v>5587</v>
      </c>
      <c r="F34" s="5">
        <v>5434</v>
      </c>
      <c r="G34" s="5">
        <v>4099</v>
      </c>
      <c r="H34" s="5">
        <v>5005</v>
      </c>
      <c r="I34" s="5">
        <v>4692</v>
      </c>
      <c r="J34" s="5">
        <v>4298</v>
      </c>
      <c r="K34" s="5">
        <v>4877</v>
      </c>
      <c r="L34" s="5">
        <v>5807</v>
      </c>
      <c r="M34" s="5">
        <v>6184</v>
      </c>
      <c r="N34" s="5">
        <v>6614</v>
      </c>
      <c r="O34" s="5">
        <v>5960</v>
      </c>
      <c r="P34" s="5">
        <v>5314</v>
      </c>
      <c r="Q34" s="5">
        <v>3820</v>
      </c>
      <c r="R34" s="5">
        <v>2489</v>
      </c>
      <c r="S34" s="5">
        <v>1334</v>
      </c>
      <c r="T34" s="5">
        <v>762</v>
      </c>
    </row>
    <row r="35" spans="1:20" x14ac:dyDescent="0.2">
      <c r="A35" s="9" t="s">
        <v>12</v>
      </c>
      <c r="B35" s="6" t="s">
        <v>22</v>
      </c>
      <c r="C35" s="5">
        <v>2456</v>
      </c>
      <c r="D35" s="5">
        <v>22</v>
      </c>
      <c r="E35" s="5">
        <v>110</v>
      </c>
      <c r="F35" s="5">
        <v>249</v>
      </c>
      <c r="G35" s="5">
        <v>326</v>
      </c>
      <c r="H35" s="5">
        <v>328</v>
      </c>
      <c r="I35" s="5">
        <v>272</v>
      </c>
      <c r="J35" s="5">
        <v>191</v>
      </c>
      <c r="K35" s="5">
        <v>194</v>
      </c>
      <c r="L35" s="5">
        <v>173</v>
      </c>
      <c r="M35" s="5">
        <v>198</v>
      </c>
      <c r="N35" s="5">
        <v>151</v>
      </c>
      <c r="O35" s="5">
        <v>104</v>
      </c>
      <c r="P35" s="5">
        <v>63</v>
      </c>
      <c r="Q35" s="5">
        <v>34</v>
      </c>
      <c r="R35" s="5">
        <v>30</v>
      </c>
      <c r="S35" s="5">
        <v>6</v>
      </c>
      <c r="T35" s="5">
        <v>5</v>
      </c>
    </row>
    <row r="36" spans="1:20" x14ac:dyDescent="0.2">
      <c r="A36" s="9" t="s">
        <v>12</v>
      </c>
      <c r="B36" s="6" t="s">
        <v>0</v>
      </c>
      <c r="C36" s="5">
        <v>1390</v>
      </c>
      <c r="D36" s="5">
        <v>9</v>
      </c>
      <c r="E36" s="5">
        <v>58</v>
      </c>
      <c r="F36" s="5">
        <v>148</v>
      </c>
      <c r="G36" s="5">
        <v>208</v>
      </c>
      <c r="H36" s="5">
        <v>213</v>
      </c>
      <c r="I36" s="5">
        <v>167</v>
      </c>
      <c r="J36" s="5">
        <v>122</v>
      </c>
      <c r="K36" s="5">
        <v>117</v>
      </c>
      <c r="L36" s="5">
        <v>78</v>
      </c>
      <c r="M36" s="5">
        <v>99</v>
      </c>
      <c r="N36" s="5">
        <v>69</v>
      </c>
      <c r="O36" s="5">
        <v>44</v>
      </c>
      <c r="P36" s="5">
        <v>30</v>
      </c>
      <c r="Q36" s="5">
        <v>19</v>
      </c>
      <c r="R36" s="5">
        <v>9</v>
      </c>
    </row>
    <row r="37" spans="1:20" x14ac:dyDescent="0.2">
      <c r="A37" s="9" t="s">
        <v>12</v>
      </c>
      <c r="B37" s="6" t="s">
        <v>23</v>
      </c>
      <c r="C37" s="5">
        <v>1066</v>
      </c>
      <c r="D37" s="5">
        <v>13</v>
      </c>
      <c r="E37" s="5">
        <v>52</v>
      </c>
      <c r="F37" s="5">
        <v>101</v>
      </c>
      <c r="G37" s="5">
        <v>118</v>
      </c>
      <c r="H37" s="5">
        <v>115</v>
      </c>
      <c r="I37" s="5">
        <v>105</v>
      </c>
      <c r="J37" s="5">
        <v>69</v>
      </c>
      <c r="K37" s="5">
        <v>77</v>
      </c>
      <c r="L37" s="5">
        <v>95</v>
      </c>
      <c r="M37" s="5">
        <v>99</v>
      </c>
      <c r="N37" s="5">
        <v>82</v>
      </c>
      <c r="O37" s="5">
        <v>60</v>
      </c>
      <c r="P37" s="5">
        <v>33</v>
      </c>
      <c r="Q37" s="5">
        <v>15</v>
      </c>
      <c r="R37" s="5">
        <v>21</v>
      </c>
      <c r="S37" s="5">
        <v>6</v>
      </c>
      <c r="T37" s="5">
        <v>5</v>
      </c>
    </row>
    <row r="38" spans="1:20" x14ac:dyDescent="0.2">
      <c r="A38" s="9" t="s">
        <v>13</v>
      </c>
      <c r="B38" s="6" t="s">
        <v>22</v>
      </c>
      <c r="C38" s="5">
        <v>50011</v>
      </c>
      <c r="D38" s="5">
        <v>1172</v>
      </c>
      <c r="E38" s="5">
        <v>3726</v>
      </c>
      <c r="F38" s="5">
        <v>3754</v>
      </c>
      <c r="G38" s="5">
        <v>3149</v>
      </c>
      <c r="H38" s="5">
        <v>3495</v>
      </c>
      <c r="I38" s="5">
        <v>3153</v>
      </c>
      <c r="J38" s="5">
        <v>2990</v>
      </c>
      <c r="K38" s="5">
        <v>3325</v>
      </c>
      <c r="L38" s="5">
        <v>3838</v>
      </c>
      <c r="M38" s="5">
        <v>4043</v>
      </c>
      <c r="N38" s="5">
        <v>4158</v>
      </c>
      <c r="O38" s="5">
        <v>3760</v>
      </c>
      <c r="P38" s="5">
        <v>3471</v>
      </c>
      <c r="Q38" s="5">
        <v>2632</v>
      </c>
      <c r="R38" s="5">
        <v>1845</v>
      </c>
      <c r="S38" s="5">
        <v>972</v>
      </c>
      <c r="T38" s="5">
        <v>528</v>
      </c>
    </row>
    <row r="39" spans="1:20" x14ac:dyDescent="0.2">
      <c r="A39" s="9" t="s">
        <v>13</v>
      </c>
      <c r="B39" s="6" t="s">
        <v>0</v>
      </c>
      <c r="C39" s="5">
        <v>25074</v>
      </c>
      <c r="D39" s="5">
        <v>584</v>
      </c>
      <c r="E39" s="5">
        <v>1948</v>
      </c>
      <c r="F39" s="5">
        <v>2068</v>
      </c>
      <c r="G39" s="5">
        <v>1679</v>
      </c>
      <c r="H39" s="5">
        <v>1774</v>
      </c>
      <c r="I39" s="5">
        <v>1623</v>
      </c>
      <c r="J39" s="5">
        <v>1465</v>
      </c>
      <c r="K39" s="5">
        <v>1678</v>
      </c>
      <c r="L39" s="5">
        <v>1879</v>
      </c>
      <c r="M39" s="5">
        <v>1938</v>
      </c>
      <c r="N39" s="5">
        <v>2082</v>
      </c>
      <c r="O39" s="5">
        <v>1934</v>
      </c>
      <c r="P39" s="5">
        <v>1717</v>
      </c>
      <c r="Q39" s="5">
        <v>1260</v>
      </c>
      <c r="R39" s="5">
        <v>853</v>
      </c>
      <c r="S39" s="5">
        <v>393</v>
      </c>
      <c r="T39" s="5">
        <v>199</v>
      </c>
    </row>
    <row r="40" spans="1:20" x14ac:dyDescent="0.2">
      <c r="A40" s="9" t="s">
        <v>13</v>
      </c>
      <c r="B40" s="6" t="s">
        <v>23</v>
      </c>
      <c r="C40" s="5">
        <v>24937</v>
      </c>
      <c r="D40" s="5">
        <v>588</v>
      </c>
      <c r="E40" s="5">
        <v>1778</v>
      </c>
      <c r="F40" s="5">
        <v>1686</v>
      </c>
      <c r="G40" s="5">
        <v>1470</v>
      </c>
      <c r="H40" s="5">
        <v>1721</v>
      </c>
      <c r="I40" s="5">
        <v>1530</v>
      </c>
      <c r="J40" s="5">
        <v>1525</v>
      </c>
      <c r="K40" s="5">
        <v>1647</v>
      </c>
      <c r="L40" s="5">
        <v>1959</v>
      </c>
      <c r="M40" s="5">
        <v>2105</v>
      </c>
      <c r="N40" s="5">
        <v>2076</v>
      </c>
      <c r="O40" s="5">
        <v>1826</v>
      </c>
      <c r="P40" s="5">
        <v>1754</v>
      </c>
      <c r="Q40" s="5">
        <v>1372</v>
      </c>
      <c r="R40" s="5">
        <v>992</v>
      </c>
      <c r="S40" s="5">
        <v>579</v>
      </c>
      <c r="T40" s="5">
        <v>329</v>
      </c>
    </row>
    <row r="41" spans="1:20" x14ac:dyDescent="0.2">
      <c r="A41" s="9" t="s">
        <v>14</v>
      </c>
      <c r="B41" s="6" t="s">
        <v>22</v>
      </c>
      <c r="C41" s="5">
        <v>288752</v>
      </c>
      <c r="D41" s="5">
        <v>8037</v>
      </c>
      <c r="E41" s="5">
        <v>20319</v>
      </c>
      <c r="F41" s="5">
        <v>35452</v>
      </c>
      <c r="G41" s="5">
        <v>22106</v>
      </c>
      <c r="H41" s="5">
        <v>23289</v>
      </c>
      <c r="I41" s="5">
        <v>20975</v>
      </c>
      <c r="J41" s="5">
        <v>19078</v>
      </c>
      <c r="K41" s="5">
        <v>19296</v>
      </c>
      <c r="L41" s="5">
        <v>20449</v>
      </c>
      <c r="M41" s="5">
        <v>20262</v>
      </c>
      <c r="N41" s="5">
        <v>20873</v>
      </c>
      <c r="O41" s="5">
        <v>17963</v>
      </c>
      <c r="P41" s="5">
        <v>15302</v>
      </c>
      <c r="Q41" s="5">
        <v>11247</v>
      </c>
      <c r="R41" s="5">
        <v>7611</v>
      </c>
      <c r="S41" s="5">
        <v>4108</v>
      </c>
      <c r="T41" s="5">
        <v>2385</v>
      </c>
    </row>
    <row r="42" spans="1:20" x14ac:dyDescent="0.2">
      <c r="A42" s="9" t="s">
        <v>14</v>
      </c>
      <c r="B42" s="6" t="s">
        <v>0</v>
      </c>
      <c r="C42" s="5">
        <v>142948</v>
      </c>
      <c r="D42" s="5">
        <v>4061</v>
      </c>
      <c r="E42" s="5">
        <v>10562</v>
      </c>
      <c r="F42" s="5">
        <v>16947</v>
      </c>
      <c r="G42" s="5">
        <v>11517</v>
      </c>
      <c r="H42" s="5">
        <v>11979</v>
      </c>
      <c r="I42" s="5">
        <v>10610</v>
      </c>
      <c r="J42" s="5">
        <v>9427</v>
      </c>
      <c r="K42" s="5">
        <v>9613</v>
      </c>
      <c r="L42" s="5">
        <v>10003</v>
      </c>
      <c r="M42" s="5">
        <v>9875</v>
      </c>
      <c r="N42" s="5">
        <v>10297</v>
      </c>
      <c r="O42" s="5">
        <v>9071</v>
      </c>
      <c r="P42" s="5">
        <v>7641</v>
      </c>
      <c r="Q42" s="5">
        <v>5409</v>
      </c>
      <c r="R42" s="5">
        <v>3437</v>
      </c>
      <c r="S42" s="5">
        <v>1723</v>
      </c>
      <c r="T42" s="5">
        <v>776</v>
      </c>
    </row>
    <row r="43" spans="1:20" x14ac:dyDescent="0.2">
      <c r="A43" s="9" t="s">
        <v>14</v>
      </c>
      <c r="B43" s="6" t="s">
        <v>23</v>
      </c>
      <c r="C43" s="5">
        <v>145804</v>
      </c>
      <c r="D43" s="5">
        <v>3976</v>
      </c>
      <c r="E43" s="5">
        <v>9757</v>
      </c>
      <c r="F43" s="5">
        <v>18505</v>
      </c>
      <c r="G43" s="5">
        <v>10589</v>
      </c>
      <c r="H43" s="5">
        <v>11310</v>
      </c>
      <c r="I43" s="5">
        <v>10365</v>
      </c>
      <c r="J43" s="5">
        <v>9651</v>
      </c>
      <c r="K43" s="5">
        <v>9683</v>
      </c>
      <c r="L43" s="5">
        <v>10446</v>
      </c>
      <c r="M43" s="5">
        <v>10387</v>
      </c>
      <c r="N43" s="5">
        <v>10576</v>
      </c>
      <c r="O43" s="5">
        <v>8892</v>
      </c>
      <c r="P43" s="5">
        <v>7661</v>
      </c>
      <c r="Q43" s="5">
        <v>5838</v>
      </c>
      <c r="R43" s="5">
        <v>4174</v>
      </c>
      <c r="S43" s="5">
        <v>2385</v>
      </c>
      <c r="T43" s="5">
        <v>1609</v>
      </c>
    </row>
    <row r="44" spans="1:20" x14ac:dyDescent="0.2">
      <c r="A44" s="9" t="s">
        <v>15</v>
      </c>
      <c r="B44" s="6" t="s">
        <v>22</v>
      </c>
      <c r="C44" s="5">
        <v>39342</v>
      </c>
      <c r="D44" s="5">
        <v>1414</v>
      </c>
      <c r="E44" s="5">
        <v>3736</v>
      </c>
      <c r="F44" s="5">
        <v>3794</v>
      </c>
      <c r="G44" s="5">
        <v>2823</v>
      </c>
      <c r="H44" s="5">
        <v>3057</v>
      </c>
      <c r="I44" s="5">
        <v>2696</v>
      </c>
      <c r="J44" s="5">
        <v>2540</v>
      </c>
      <c r="K44" s="5">
        <v>2656</v>
      </c>
      <c r="L44" s="5">
        <v>2839</v>
      </c>
      <c r="M44" s="5">
        <v>2817</v>
      </c>
      <c r="N44" s="5">
        <v>2973</v>
      </c>
      <c r="O44" s="5">
        <v>2570</v>
      </c>
      <c r="P44" s="5">
        <v>2190</v>
      </c>
      <c r="Q44" s="5">
        <v>1445</v>
      </c>
      <c r="R44" s="5">
        <v>978</v>
      </c>
      <c r="S44" s="5">
        <v>497</v>
      </c>
      <c r="T44" s="5">
        <v>317</v>
      </c>
    </row>
    <row r="45" spans="1:20" x14ac:dyDescent="0.2">
      <c r="A45" s="9" t="s">
        <v>15</v>
      </c>
      <c r="B45" s="6" t="s">
        <v>0</v>
      </c>
      <c r="C45" s="5">
        <v>19346</v>
      </c>
      <c r="D45" s="5">
        <v>726</v>
      </c>
      <c r="E45" s="5">
        <v>1920</v>
      </c>
      <c r="F45" s="5">
        <v>2008</v>
      </c>
      <c r="G45" s="5">
        <v>1445</v>
      </c>
      <c r="H45" s="5">
        <v>1544</v>
      </c>
      <c r="I45" s="5">
        <v>1316</v>
      </c>
      <c r="J45" s="5">
        <v>1170</v>
      </c>
      <c r="K45" s="5">
        <v>1321</v>
      </c>
      <c r="L45" s="5">
        <v>1351</v>
      </c>
      <c r="M45" s="5">
        <v>1334</v>
      </c>
      <c r="N45" s="5">
        <v>1396</v>
      </c>
      <c r="O45" s="5">
        <v>1297</v>
      </c>
      <c r="P45" s="5">
        <v>1086</v>
      </c>
      <c r="Q45" s="5">
        <v>688</v>
      </c>
      <c r="R45" s="5">
        <v>431</v>
      </c>
      <c r="S45" s="5">
        <v>201</v>
      </c>
      <c r="T45" s="5">
        <v>112</v>
      </c>
    </row>
    <row r="46" spans="1:20" x14ac:dyDescent="0.2">
      <c r="A46" s="9" t="s">
        <v>15</v>
      </c>
      <c r="B46" s="6" t="s">
        <v>23</v>
      </c>
      <c r="C46" s="5">
        <v>19996</v>
      </c>
      <c r="D46" s="5">
        <v>688</v>
      </c>
      <c r="E46" s="5">
        <v>1816</v>
      </c>
      <c r="F46" s="5">
        <v>1786</v>
      </c>
      <c r="G46" s="5">
        <v>1378</v>
      </c>
      <c r="H46" s="5">
        <v>1513</v>
      </c>
      <c r="I46" s="5">
        <v>1380</v>
      </c>
      <c r="J46" s="5">
        <v>1370</v>
      </c>
      <c r="K46" s="5">
        <v>1335</v>
      </c>
      <c r="L46" s="5">
        <v>1488</v>
      </c>
      <c r="M46" s="5">
        <v>1483</v>
      </c>
      <c r="N46" s="5">
        <v>1577</v>
      </c>
      <c r="O46" s="5">
        <v>1273</v>
      </c>
      <c r="P46" s="5">
        <v>1104</v>
      </c>
      <c r="Q46" s="5">
        <v>757</v>
      </c>
      <c r="R46" s="5">
        <v>547</v>
      </c>
      <c r="S46" s="5">
        <v>296</v>
      </c>
      <c r="T46" s="5">
        <v>205</v>
      </c>
    </row>
    <row r="47" spans="1:20" x14ac:dyDescent="0.2">
      <c r="A47" s="9" t="s">
        <v>16</v>
      </c>
      <c r="B47" s="6" t="s">
        <v>22</v>
      </c>
      <c r="C47" s="5">
        <v>98189</v>
      </c>
      <c r="D47" s="5">
        <v>2826</v>
      </c>
      <c r="E47" s="5">
        <v>8367</v>
      </c>
      <c r="F47" s="5">
        <v>8125</v>
      </c>
      <c r="G47" s="5">
        <v>6035</v>
      </c>
      <c r="H47" s="5">
        <v>7002</v>
      </c>
      <c r="I47" s="5">
        <v>6966</v>
      </c>
      <c r="J47" s="5">
        <v>6634</v>
      </c>
      <c r="K47" s="5">
        <v>6948</v>
      </c>
      <c r="L47" s="5">
        <v>7432</v>
      </c>
      <c r="M47" s="5">
        <v>7367</v>
      </c>
      <c r="N47" s="5">
        <v>7796</v>
      </c>
      <c r="O47" s="5">
        <v>6870</v>
      </c>
      <c r="P47" s="5">
        <v>5856</v>
      </c>
      <c r="Q47" s="5">
        <v>4428</v>
      </c>
      <c r="R47" s="5">
        <v>2873</v>
      </c>
      <c r="S47" s="5">
        <v>1659</v>
      </c>
      <c r="T47" s="5">
        <v>1005</v>
      </c>
    </row>
    <row r="48" spans="1:20" x14ac:dyDescent="0.2">
      <c r="A48" s="9" t="s">
        <v>16</v>
      </c>
      <c r="B48" s="6" t="s">
        <v>0</v>
      </c>
      <c r="C48" s="5">
        <v>48210</v>
      </c>
      <c r="D48" s="5">
        <v>1469</v>
      </c>
      <c r="E48" s="5">
        <v>4266</v>
      </c>
      <c r="F48" s="5">
        <v>4324</v>
      </c>
      <c r="G48" s="5">
        <v>3094</v>
      </c>
      <c r="H48" s="5">
        <v>3354</v>
      </c>
      <c r="I48" s="5">
        <v>3347</v>
      </c>
      <c r="J48" s="5">
        <v>3306</v>
      </c>
      <c r="K48" s="5">
        <v>3334</v>
      </c>
      <c r="L48" s="5">
        <v>3613</v>
      </c>
      <c r="M48" s="5">
        <v>3566</v>
      </c>
      <c r="N48" s="5">
        <v>3790</v>
      </c>
      <c r="O48" s="5">
        <v>3362</v>
      </c>
      <c r="P48" s="5">
        <v>2905</v>
      </c>
      <c r="Q48" s="5">
        <v>2109</v>
      </c>
      <c r="R48" s="5">
        <v>1309</v>
      </c>
      <c r="S48" s="5">
        <v>693</v>
      </c>
      <c r="T48" s="5">
        <v>369</v>
      </c>
    </row>
    <row r="49" spans="1:21" x14ac:dyDescent="0.2">
      <c r="A49" s="9" t="s">
        <v>16</v>
      </c>
      <c r="B49" s="6" t="s">
        <v>23</v>
      </c>
      <c r="C49" s="5">
        <v>49979</v>
      </c>
      <c r="D49" s="5">
        <v>1357</v>
      </c>
      <c r="E49" s="5">
        <v>4101</v>
      </c>
      <c r="F49" s="5">
        <v>3801</v>
      </c>
      <c r="G49" s="5">
        <v>2941</v>
      </c>
      <c r="H49" s="5">
        <v>3648</v>
      </c>
      <c r="I49" s="5">
        <v>3619</v>
      </c>
      <c r="J49" s="5">
        <v>3328</v>
      </c>
      <c r="K49" s="5">
        <v>3614</v>
      </c>
      <c r="L49" s="5">
        <v>3819</v>
      </c>
      <c r="M49" s="5">
        <v>3801</v>
      </c>
      <c r="N49" s="5">
        <v>4006</v>
      </c>
      <c r="O49" s="5">
        <v>3508</v>
      </c>
      <c r="P49" s="5">
        <v>2951</v>
      </c>
      <c r="Q49" s="5">
        <v>2319</v>
      </c>
      <c r="R49" s="5">
        <v>1564</v>
      </c>
      <c r="S49" s="5">
        <v>966</v>
      </c>
      <c r="T49" s="5">
        <v>636</v>
      </c>
    </row>
    <row r="50" spans="1:21" x14ac:dyDescent="0.2">
      <c r="A50" s="11" t="s">
        <v>17</v>
      </c>
      <c r="B50" s="6" t="s">
        <v>22</v>
      </c>
      <c r="C50" s="5">
        <v>343965</v>
      </c>
      <c r="D50" s="5">
        <v>9181</v>
      </c>
      <c r="E50" s="5">
        <v>28651</v>
      </c>
      <c r="F50" s="5">
        <v>34200</v>
      </c>
      <c r="G50" s="5">
        <v>26478</v>
      </c>
      <c r="H50" s="5">
        <v>28522</v>
      </c>
      <c r="I50" s="5">
        <v>25792</v>
      </c>
      <c r="J50" s="5">
        <v>23544</v>
      </c>
      <c r="K50" s="5">
        <v>23288</v>
      </c>
      <c r="L50" s="5">
        <v>25068</v>
      </c>
      <c r="M50" s="5">
        <v>23790</v>
      </c>
      <c r="N50" s="5">
        <v>24124</v>
      </c>
      <c r="O50" s="5">
        <v>21406</v>
      </c>
      <c r="P50" s="5">
        <v>18680</v>
      </c>
      <c r="Q50" s="5">
        <v>14204</v>
      </c>
      <c r="R50" s="5">
        <v>9400</v>
      </c>
      <c r="S50" s="5">
        <v>4908</v>
      </c>
      <c r="T50" s="5">
        <v>2729</v>
      </c>
    </row>
    <row r="51" spans="1:21" x14ac:dyDescent="0.2">
      <c r="A51" s="11" t="s">
        <v>17</v>
      </c>
      <c r="B51" s="6" t="s">
        <v>0</v>
      </c>
      <c r="C51" s="5">
        <v>169356</v>
      </c>
      <c r="D51" s="5">
        <v>4625</v>
      </c>
      <c r="E51" s="5">
        <v>14492</v>
      </c>
      <c r="F51" s="5">
        <v>17457</v>
      </c>
      <c r="G51" s="5">
        <v>13705</v>
      </c>
      <c r="H51" s="5">
        <v>14077</v>
      </c>
      <c r="I51" s="5">
        <v>12765</v>
      </c>
      <c r="J51" s="5">
        <v>11626</v>
      </c>
      <c r="K51" s="5">
        <v>11483</v>
      </c>
      <c r="L51" s="5">
        <v>12198</v>
      </c>
      <c r="M51" s="5">
        <v>11593</v>
      </c>
      <c r="N51" s="5">
        <v>11663</v>
      </c>
      <c r="O51" s="5">
        <v>10315</v>
      </c>
      <c r="P51" s="5">
        <v>9102</v>
      </c>
      <c r="Q51" s="5">
        <v>6857</v>
      </c>
      <c r="R51" s="5">
        <v>4330</v>
      </c>
      <c r="S51" s="5">
        <v>2086</v>
      </c>
      <c r="T51" s="5">
        <v>982</v>
      </c>
    </row>
    <row r="52" spans="1:21" x14ac:dyDescent="0.2">
      <c r="A52" s="11" t="s">
        <v>17</v>
      </c>
      <c r="B52" s="6" t="s">
        <v>23</v>
      </c>
      <c r="C52" s="5">
        <v>174609</v>
      </c>
      <c r="D52" s="5">
        <v>4556</v>
      </c>
      <c r="E52" s="5">
        <v>14159</v>
      </c>
      <c r="F52" s="5">
        <v>16743</v>
      </c>
      <c r="G52" s="5">
        <v>12773</v>
      </c>
      <c r="H52" s="5">
        <v>14445</v>
      </c>
      <c r="I52" s="5">
        <v>13027</v>
      </c>
      <c r="J52" s="5">
        <v>11918</v>
      </c>
      <c r="K52" s="5">
        <v>11805</v>
      </c>
      <c r="L52" s="5">
        <v>12870</v>
      </c>
      <c r="M52" s="5">
        <v>12197</v>
      </c>
      <c r="N52" s="5">
        <v>12461</v>
      </c>
      <c r="O52" s="5">
        <v>11091</v>
      </c>
      <c r="P52" s="5">
        <v>9578</v>
      </c>
      <c r="Q52" s="5">
        <v>7347</v>
      </c>
      <c r="R52" s="5">
        <v>5070</v>
      </c>
      <c r="S52" s="5">
        <v>2822</v>
      </c>
      <c r="T52" s="5">
        <v>1747</v>
      </c>
    </row>
    <row r="53" spans="1:21" x14ac:dyDescent="0.2">
      <c r="A53" s="9" t="s">
        <v>18</v>
      </c>
      <c r="B53" s="6" t="s">
        <v>22</v>
      </c>
      <c r="C53" s="5">
        <v>40156</v>
      </c>
      <c r="D53" s="5">
        <v>924</v>
      </c>
      <c r="E53" s="5">
        <v>3089</v>
      </c>
      <c r="F53" s="5">
        <v>3016</v>
      </c>
      <c r="G53" s="5">
        <v>2226</v>
      </c>
      <c r="H53" s="5">
        <v>2618</v>
      </c>
      <c r="I53" s="5">
        <v>2394</v>
      </c>
      <c r="J53" s="5">
        <v>2457</v>
      </c>
      <c r="K53" s="5">
        <v>2705</v>
      </c>
      <c r="L53" s="5">
        <v>3166</v>
      </c>
      <c r="M53" s="5">
        <v>3250</v>
      </c>
      <c r="N53" s="5">
        <v>3473</v>
      </c>
      <c r="O53" s="5">
        <v>3231</v>
      </c>
      <c r="P53" s="5">
        <v>2945</v>
      </c>
      <c r="Q53" s="5">
        <v>2137</v>
      </c>
      <c r="R53" s="5">
        <v>1424</v>
      </c>
      <c r="S53" s="5">
        <v>711</v>
      </c>
      <c r="T53" s="5">
        <v>390</v>
      </c>
    </row>
    <row r="54" spans="1:21" x14ac:dyDescent="0.2">
      <c r="A54" s="9" t="s">
        <v>18</v>
      </c>
      <c r="B54" s="6" t="s">
        <v>0</v>
      </c>
      <c r="C54" s="5">
        <v>19558</v>
      </c>
      <c r="D54" s="5">
        <v>466</v>
      </c>
      <c r="E54" s="5">
        <v>1581</v>
      </c>
      <c r="F54" s="5">
        <v>1596</v>
      </c>
      <c r="G54" s="5">
        <v>1131</v>
      </c>
      <c r="H54" s="5">
        <v>1248</v>
      </c>
      <c r="I54" s="5">
        <v>1190</v>
      </c>
      <c r="J54" s="5">
        <v>1135</v>
      </c>
      <c r="K54" s="5">
        <v>1276</v>
      </c>
      <c r="L54" s="5">
        <v>1507</v>
      </c>
      <c r="M54" s="5">
        <v>1565</v>
      </c>
      <c r="N54" s="5">
        <v>1673</v>
      </c>
      <c r="O54" s="5">
        <v>1577</v>
      </c>
      <c r="P54" s="5">
        <v>1473</v>
      </c>
      <c r="Q54" s="5">
        <v>1048</v>
      </c>
      <c r="R54" s="5">
        <v>651</v>
      </c>
      <c r="S54" s="5">
        <v>300</v>
      </c>
      <c r="T54" s="5">
        <v>141</v>
      </c>
    </row>
    <row r="55" spans="1:21" x14ac:dyDescent="0.2">
      <c r="A55" s="9" t="s">
        <v>18</v>
      </c>
      <c r="B55" s="6" t="s">
        <v>23</v>
      </c>
      <c r="C55" s="5">
        <v>20598</v>
      </c>
      <c r="D55" s="5">
        <v>458</v>
      </c>
      <c r="E55" s="5">
        <v>1508</v>
      </c>
      <c r="F55" s="5">
        <v>1420</v>
      </c>
      <c r="G55" s="5">
        <v>1095</v>
      </c>
      <c r="H55" s="5">
        <v>1370</v>
      </c>
      <c r="I55" s="5">
        <v>1204</v>
      </c>
      <c r="J55" s="5">
        <v>1322</v>
      </c>
      <c r="K55" s="5">
        <v>1429</v>
      </c>
      <c r="L55" s="5">
        <v>1659</v>
      </c>
      <c r="M55" s="5">
        <v>1685</v>
      </c>
      <c r="N55" s="5">
        <v>1800</v>
      </c>
      <c r="O55" s="5">
        <v>1654</v>
      </c>
      <c r="P55" s="5">
        <v>1472</v>
      </c>
      <c r="Q55" s="5">
        <v>1089</v>
      </c>
      <c r="R55" s="5">
        <v>773</v>
      </c>
      <c r="S55" s="5">
        <v>411</v>
      </c>
      <c r="T55" s="5">
        <v>249</v>
      </c>
    </row>
    <row r="56" spans="1:21" x14ac:dyDescent="0.2">
      <c r="A56" s="9" t="s">
        <v>19</v>
      </c>
      <c r="B56" s="6" t="s">
        <v>22</v>
      </c>
      <c r="C56" s="5">
        <v>525266</v>
      </c>
      <c r="D56" s="5">
        <v>20387</v>
      </c>
      <c r="E56" s="5">
        <v>41466</v>
      </c>
      <c r="F56" s="5">
        <v>49178</v>
      </c>
      <c r="G56" s="5">
        <v>39535</v>
      </c>
      <c r="H56" s="5">
        <v>46346</v>
      </c>
      <c r="I56" s="5">
        <v>46346</v>
      </c>
      <c r="J56" s="5">
        <v>43167</v>
      </c>
      <c r="K56" s="5">
        <v>38998</v>
      </c>
      <c r="L56" s="5">
        <v>40235</v>
      </c>
      <c r="M56" s="5">
        <v>36467</v>
      </c>
      <c r="N56" s="5">
        <v>33140</v>
      </c>
      <c r="O56" s="5">
        <v>27459</v>
      </c>
      <c r="P56" s="5">
        <v>22684</v>
      </c>
      <c r="Q56" s="5">
        <v>17565</v>
      </c>
      <c r="R56" s="5">
        <v>12006</v>
      </c>
      <c r="S56" s="5">
        <v>6508</v>
      </c>
      <c r="T56" s="5">
        <v>3779</v>
      </c>
    </row>
    <row r="57" spans="1:21" x14ac:dyDescent="0.2">
      <c r="A57" s="10" t="s">
        <v>19</v>
      </c>
      <c r="B57" s="6" t="s">
        <v>0</v>
      </c>
      <c r="C57" s="5">
        <v>258033</v>
      </c>
      <c r="D57" s="5">
        <v>10351</v>
      </c>
      <c r="E57" s="5">
        <v>21226</v>
      </c>
      <c r="F57" s="5">
        <v>25368</v>
      </c>
      <c r="G57" s="5">
        <v>19783</v>
      </c>
      <c r="H57" s="5">
        <v>22726</v>
      </c>
      <c r="I57" s="5">
        <v>22524</v>
      </c>
      <c r="J57" s="5">
        <v>21387</v>
      </c>
      <c r="K57" s="5">
        <v>19177</v>
      </c>
      <c r="L57" s="5">
        <v>19698</v>
      </c>
      <c r="M57" s="5">
        <v>18026</v>
      </c>
      <c r="N57" s="5">
        <v>16140</v>
      </c>
      <c r="O57" s="5">
        <v>13002</v>
      </c>
      <c r="P57" s="5">
        <v>10914</v>
      </c>
      <c r="Q57" s="5">
        <v>8263</v>
      </c>
      <c r="R57" s="5">
        <v>5403</v>
      </c>
      <c r="S57" s="5">
        <v>2703</v>
      </c>
      <c r="T57" s="5">
        <v>1342</v>
      </c>
    </row>
    <row r="58" spans="1:21" x14ac:dyDescent="0.2">
      <c r="A58" s="10" t="s">
        <v>19</v>
      </c>
      <c r="B58" s="6" t="s">
        <v>23</v>
      </c>
      <c r="C58" s="5">
        <v>267233</v>
      </c>
      <c r="D58" s="5">
        <v>10036</v>
      </c>
      <c r="E58" s="5">
        <v>20240</v>
      </c>
      <c r="F58" s="5">
        <v>23810</v>
      </c>
      <c r="G58" s="5">
        <v>19752</v>
      </c>
      <c r="H58" s="5">
        <v>23620</v>
      </c>
      <c r="I58" s="5">
        <v>23822</v>
      </c>
      <c r="J58" s="5">
        <v>21780</v>
      </c>
      <c r="K58" s="5">
        <v>19821</v>
      </c>
      <c r="L58" s="5">
        <v>20537</v>
      </c>
      <c r="M58" s="5">
        <v>18441</v>
      </c>
      <c r="N58" s="5">
        <v>17000</v>
      </c>
      <c r="O58" s="5">
        <v>14457</v>
      </c>
      <c r="P58" s="5">
        <v>11770</v>
      </c>
      <c r="Q58" s="5">
        <v>9302</v>
      </c>
      <c r="R58" s="5">
        <v>6603</v>
      </c>
      <c r="S58" s="5">
        <v>3805</v>
      </c>
      <c r="T58" s="5">
        <v>2437</v>
      </c>
    </row>
    <row r="59" spans="1:21" x14ac:dyDescent="0.2">
      <c r="A59" s="9" t="s">
        <v>20</v>
      </c>
      <c r="B59" s="6" t="s">
        <v>22</v>
      </c>
      <c r="C59" s="5">
        <v>25941</v>
      </c>
      <c r="D59" s="5">
        <v>581</v>
      </c>
      <c r="E59" s="5">
        <v>1847</v>
      </c>
      <c r="F59" s="5">
        <v>1752</v>
      </c>
      <c r="G59" s="5">
        <v>1334</v>
      </c>
      <c r="H59" s="5">
        <v>1637</v>
      </c>
      <c r="I59" s="5">
        <v>1502</v>
      </c>
      <c r="J59" s="5">
        <v>1519</v>
      </c>
      <c r="K59" s="5">
        <v>1688</v>
      </c>
      <c r="L59" s="5">
        <v>2173</v>
      </c>
      <c r="M59" s="5">
        <v>2462</v>
      </c>
      <c r="N59" s="5">
        <v>2674</v>
      </c>
      <c r="O59" s="5">
        <v>2242</v>
      </c>
      <c r="P59" s="5">
        <v>1904</v>
      </c>
      <c r="Q59" s="5">
        <v>1291</v>
      </c>
      <c r="R59" s="5">
        <v>766</v>
      </c>
      <c r="S59" s="5">
        <v>372</v>
      </c>
      <c r="T59" s="5">
        <v>197</v>
      </c>
    </row>
    <row r="60" spans="1:21" x14ac:dyDescent="0.2">
      <c r="A60" s="9" t="s">
        <v>20</v>
      </c>
      <c r="B60" s="6" t="s">
        <v>0</v>
      </c>
      <c r="C60" s="5">
        <v>13177</v>
      </c>
      <c r="D60" s="5">
        <v>293</v>
      </c>
      <c r="E60" s="5">
        <v>961</v>
      </c>
      <c r="F60" s="5">
        <v>970</v>
      </c>
      <c r="G60" s="5">
        <v>680</v>
      </c>
      <c r="H60" s="5">
        <v>788</v>
      </c>
      <c r="I60" s="5">
        <v>776</v>
      </c>
      <c r="J60" s="5">
        <v>720</v>
      </c>
      <c r="K60" s="5">
        <v>800</v>
      </c>
      <c r="L60" s="5">
        <v>1062</v>
      </c>
      <c r="M60" s="5">
        <v>1211</v>
      </c>
      <c r="N60" s="5">
        <v>1376</v>
      </c>
      <c r="O60" s="5">
        <v>1227</v>
      </c>
      <c r="P60" s="5">
        <v>1046</v>
      </c>
      <c r="Q60" s="5">
        <v>638</v>
      </c>
      <c r="R60" s="5">
        <v>371</v>
      </c>
      <c r="S60" s="5">
        <v>181</v>
      </c>
      <c r="T60" s="5">
        <v>77</v>
      </c>
    </row>
    <row r="61" spans="1:21" x14ac:dyDescent="0.2">
      <c r="A61" s="9" t="s">
        <v>20</v>
      </c>
      <c r="B61" s="6" t="s">
        <v>23</v>
      </c>
      <c r="C61" s="5">
        <v>12764</v>
      </c>
      <c r="D61" s="5">
        <v>288</v>
      </c>
      <c r="E61" s="5">
        <v>886</v>
      </c>
      <c r="F61" s="5">
        <v>782</v>
      </c>
      <c r="G61" s="5">
        <v>654</v>
      </c>
      <c r="H61" s="5">
        <v>849</v>
      </c>
      <c r="I61" s="5">
        <v>726</v>
      </c>
      <c r="J61" s="5">
        <v>799</v>
      </c>
      <c r="K61" s="5">
        <v>888</v>
      </c>
      <c r="L61" s="5">
        <v>1111</v>
      </c>
      <c r="M61" s="5">
        <v>1251</v>
      </c>
      <c r="N61" s="5">
        <v>1298</v>
      </c>
      <c r="O61" s="5">
        <v>1015</v>
      </c>
      <c r="P61" s="5">
        <v>858</v>
      </c>
      <c r="Q61" s="5">
        <v>653</v>
      </c>
      <c r="R61" s="5">
        <v>395</v>
      </c>
      <c r="S61" s="5">
        <v>191</v>
      </c>
      <c r="T61" s="5">
        <v>120</v>
      </c>
    </row>
    <row r="62" spans="1:21" x14ac:dyDescent="0.2">
      <c r="A62" s="13" t="s">
        <v>21</v>
      </c>
      <c r="B62" s="6" t="s">
        <v>22</v>
      </c>
      <c r="C62" s="5">
        <v>52755</v>
      </c>
      <c r="D62" s="5">
        <v>1240</v>
      </c>
      <c r="E62" s="5">
        <v>4084</v>
      </c>
      <c r="F62" s="5">
        <v>4557</v>
      </c>
      <c r="G62" s="5">
        <v>3415</v>
      </c>
      <c r="H62" s="5">
        <v>3687</v>
      </c>
      <c r="I62" s="5">
        <v>3313</v>
      </c>
      <c r="J62" s="5">
        <v>3022</v>
      </c>
      <c r="K62" s="5">
        <v>3309</v>
      </c>
      <c r="L62" s="5">
        <v>4003</v>
      </c>
      <c r="M62" s="5">
        <v>4195</v>
      </c>
      <c r="N62" s="5">
        <v>4447</v>
      </c>
      <c r="O62" s="5">
        <v>4017</v>
      </c>
      <c r="P62" s="5">
        <v>3485</v>
      </c>
      <c r="Q62" s="5">
        <v>2705</v>
      </c>
      <c r="R62" s="5">
        <v>1805</v>
      </c>
      <c r="S62" s="5">
        <v>963</v>
      </c>
      <c r="T62" s="5">
        <v>508</v>
      </c>
      <c r="U62" s="7"/>
    </row>
    <row r="63" spans="1:21" x14ac:dyDescent="0.2">
      <c r="A63" s="10" t="s">
        <v>21</v>
      </c>
      <c r="B63" s="6" t="s">
        <v>0</v>
      </c>
      <c r="C63" s="5">
        <v>25829</v>
      </c>
      <c r="D63" s="5">
        <v>621</v>
      </c>
      <c r="E63" s="5">
        <v>2109</v>
      </c>
      <c r="F63" s="5">
        <v>2411</v>
      </c>
      <c r="G63" s="5">
        <v>1744</v>
      </c>
      <c r="H63" s="5">
        <v>1844</v>
      </c>
      <c r="I63" s="5">
        <v>1618</v>
      </c>
      <c r="J63" s="5">
        <v>1508</v>
      </c>
      <c r="K63" s="5">
        <v>1551</v>
      </c>
      <c r="L63" s="5">
        <v>1931</v>
      </c>
      <c r="M63" s="5">
        <v>1964</v>
      </c>
      <c r="N63" s="5">
        <v>2160</v>
      </c>
      <c r="O63" s="5">
        <v>1935</v>
      </c>
      <c r="P63" s="5">
        <v>1748</v>
      </c>
      <c r="Q63" s="5">
        <v>1305</v>
      </c>
      <c r="R63" s="5">
        <v>803</v>
      </c>
      <c r="S63" s="5">
        <v>393</v>
      </c>
      <c r="T63" s="5">
        <v>184</v>
      </c>
    </row>
    <row r="64" spans="1:21" x14ac:dyDescent="0.2">
      <c r="A64" s="10" t="s">
        <v>21</v>
      </c>
      <c r="B64" s="6" t="s">
        <v>23</v>
      </c>
      <c r="C64" s="5">
        <v>26926</v>
      </c>
      <c r="D64" s="5">
        <v>619</v>
      </c>
      <c r="E64" s="5">
        <v>1975</v>
      </c>
      <c r="F64" s="5">
        <v>2146</v>
      </c>
      <c r="G64" s="5">
        <v>1671</v>
      </c>
      <c r="H64" s="5">
        <v>1843</v>
      </c>
      <c r="I64" s="5">
        <v>1695</v>
      </c>
      <c r="J64" s="5">
        <v>1514</v>
      </c>
      <c r="K64" s="5">
        <v>1758</v>
      </c>
      <c r="L64" s="5">
        <v>2072</v>
      </c>
      <c r="M64" s="5">
        <v>2231</v>
      </c>
      <c r="N64" s="5">
        <v>2287</v>
      </c>
      <c r="O64" s="5">
        <v>2082</v>
      </c>
      <c r="P64" s="5">
        <v>1737</v>
      </c>
      <c r="Q64" s="5">
        <v>1400</v>
      </c>
      <c r="R64" s="5">
        <v>1002</v>
      </c>
      <c r="S64" s="5">
        <v>570</v>
      </c>
      <c r="T64" s="5">
        <v>324</v>
      </c>
    </row>
    <row r="65" spans="1:20" x14ac:dyDescent="0.2">
      <c r="A65" s="13" t="s">
        <v>22</v>
      </c>
      <c r="B65" s="6" t="s">
        <v>22</v>
      </c>
      <c r="C65" s="5">
        <v>4141757</v>
      </c>
      <c r="D65" s="5">
        <v>132751</v>
      </c>
      <c r="E65" s="5">
        <v>324875</v>
      </c>
      <c r="F65" s="5">
        <v>412740</v>
      </c>
      <c r="G65" s="5">
        <v>325894</v>
      </c>
      <c r="H65" s="5">
        <v>355345</v>
      </c>
      <c r="I65" s="5">
        <v>322037</v>
      </c>
      <c r="J65" s="5">
        <v>294981</v>
      </c>
      <c r="K65" s="5">
        <v>288366</v>
      </c>
      <c r="L65" s="5">
        <v>308357</v>
      </c>
      <c r="M65" s="5">
        <v>293436</v>
      </c>
      <c r="N65" s="5">
        <v>284766</v>
      </c>
      <c r="O65" s="5">
        <v>243200</v>
      </c>
      <c r="P65" s="5">
        <v>208036</v>
      </c>
      <c r="Q65" s="5">
        <v>155533</v>
      </c>
      <c r="R65" s="5">
        <v>104727</v>
      </c>
      <c r="S65" s="5">
        <v>55221</v>
      </c>
      <c r="T65" s="5">
        <v>31492</v>
      </c>
    </row>
    <row r="66" spans="1:20" x14ac:dyDescent="0.2">
      <c r="A66" s="10" t="s">
        <v>22</v>
      </c>
      <c r="B66" s="6" t="s">
        <v>0</v>
      </c>
      <c r="C66" s="5">
        <v>2044397</v>
      </c>
      <c r="D66" s="5">
        <v>67241</v>
      </c>
      <c r="E66" s="5">
        <v>165814</v>
      </c>
      <c r="F66" s="5">
        <v>210458</v>
      </c>
      <c r="G66" s="5">
        <v>167294</v>
      </c>
      <c r="H66" s="5">
        <v>177341</v>
      </c>
      <c r="I66" s="5">
        <v>160286</v>
      </c>
      <c r="J66" s="5">
        <v>146325</v>
      </c>
      <c r="K66" s="5">
        <v>141457</v>
      </c>
      <c r="L66" s="5">
        <v>150271</v>
      </c>
      <c r="M66" s="5">
        <v>143437</v>
      </c>
      <c r="N66" s="5">
        <v>138946</v>
      </c>
      <c r="O66" s="5">
        <v>118217</v>
      </c>
      <c r="P66" s="5">
        <v>101271</v>
      </c>
      <c r="Q66" s="5">
        <v>74142</v>
      </c>
      <c r="R66" s="5">
        <v>47626</v>
      </c>
      <c r="S66" s="5">
        <v>23152</v>
      </c>
      <c r="T66" s="5">
        <v>11119</v>
      </c>
    </row>
    <row r="67" spans="1:20" x14ac:dyDescent="0.2">
      <c r="A67" s="10" t="s">
        <v>22</v>
      </c>
      <c r="B67" s="6" t="s">
        <v>23</v>
      </c>
      <c r="C67" s="5">
        <v>2097360</v>
      </c>
      <c r="D67" s="5">
        <v>65510</v>
      </c>
      <c r="E67" s="5">
        <v>159061</v>
      </c>
      <c r="F67" s="5">
        <v>202282</v>
      </c>
      <c r="G67" s="5">
        <v>158600</v>
      </c>
      <c r="H67" s="5">
        <v>178004</v>
      </c>
      <c r="I67" s="5">
        <v>161751</v>
      </c>
      <c r="J67" s="5">
        <v>148656</v>
      </c>
      <c r="K67" s="5">
        <v>146909</v>
      </c>
      <c r="L67" s="5">
        <v>158086</v>
      </c>
      <c r="M67" s="5">
        <v>149999</v>
      </c>
      <c r="N67" s="5">
        <v>145820</v>
      </c>
      <c r="O67" s="5">
        <v>124983</v>
      </c>
      <c r="P67" s="5">
        <v>106765</v>
      </c>
      <c r="Q67" s="5">
        <v>81391</v>
      </c>
      <c r="R67" s="5">
        <v>57101</v>
      </c>
      <c r="S67" s="5">
        <v>32069</v>
      </c>
      <c r="T67" s="5">
        <v>20373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7DCD-6B40-7A42-AF7F-62E087987586}">
  <dimension ref="A1:T67"/>
  <sheetViews>
    <sheetView zoomScale="112" zoomScaleNormal="150" workbookViewId="0">
      <selection activeCell="F11" sqref="F11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Table34101112131814[[#This Row],[Total]]-Table341011[[#This Row],[Total]]</f>
        <v>62073</v>
      </c>
      <c r="D2" s="5">
        <f>Table34101112131814[[#This Row],[  5-11]]-Table341011[[#This Row],[  5-11]]</f>
        <v>23966</v>
      </c>
      <c r="E2" s="5">
        <f>Table34101112131814[[#This Row],[  12-17]]-Table341011[[#This Row],[  12-17]]</f>
        <v>4940</v>
      </c>
      <c r="F2" s="5">
        <f>Table34101112131814[[#This Row],[  18-24]]-Table341011[[#This Row],[  18-24]]</f>
        <v>3725</v>
      </c>
      <c r="G2" s="5">
        <f>Table34101112131814[[#This Row],[  25-29 ]]-Table341011[[#This Row],[  25-29 ]]</f>
        <v>6080</v>
      </c>
      <c r="H2" s="5">
        <f>Table34101112131814[[#This Row],[  30-34]]-Table341011[[#This Row],[  30-34]]</f>
        <v>5517</v>
      </c>
      <c r="I2" s="5">
        <f>Table34101112131814[[#This Row],[  35-39]]-Table341011[[#This Row],[  35-39]]</f>
        <v>3947</v>
      </c>
      <c r="J2" s="5">
        <f>Table34101112131814[[#This Row],[  40-44]]-Table341011[[#This Row],[  40-44]]</f>
        <v>2489</v>
      </c>
      <c r="K2" s="5">
        <f>Table34101112131814[[#This Row],[  45-49 ]]-Table341011[[#This Row],[  45-49 ]]</f>
        <v>3093</v>
      </c>
      <c r="L2" s="5">
        <f>Table34101112131814[[#This Row],[  50-54]]-Table341011[[#This Row],[  50-54]]</f>
        <v>1893</v>
      </c>
      <c r="M2" s="5">
        <f>Table34101112131814[[#This Row],[  55-59]]-Table341011[[#This Row],[  55-59]]</f>
        <v>2411</v>
      </c>
      <c r="N2" s="5">
        <f>Table34101112131814[[#This Row],[  60-64]]-Table341011[[#This Row],[  60-64]]</f>
        <v>1395</v>
      </c>
      <c r="O2" s="5">
        <f>Table34101112131814[[#This Row],[  65-69]]-Table341011[[#This Row],[  65-69]]</f>
        <v>1017</v>
      </c>
      <c r="P2" s="5">
        <f>Table34101112131814[[#This Row],[  70-74]]-Table341011[[#This Row],[  70-74]]</f>
        <v>804</v>
      </c>
      <c r="Q2" s="5">
        <f>Table34101112131814[[#This Row],[  75-79]]-Table341011[[#This Row],[  75-79]]</f>
        <v>144</v>
      </c>
      <c r="R2" s="5">
        <f>Table34101112131814[[#This Row],[  80-84]]-Table341011[[#This Row],[  80-84]]</f>
        <v>229</v>
      </c>
      <c r="S2" s="5">
        <f>Table34101112131814[[#This Row],[  85-89]]-Table341011[[#This Row],[  85-89]]</f>
        <v>191</v>
      </c>
      <c r="T2" s="5">
        <f>Table34101112131814[[#This Row],[  90+]]-Table341011[[#This Row],[  90+]]</f>
        <v>232</v>
      </c>
    </row>
    <row r="3" spans="1:20" x14ac:dyDescent="0.2">
      <c r="A3" s="9" t="s">
        <v>1</v>
      </c>
      <c r="B3" s="6" t="s">
        <v>0</v>
      </c>
      <c r="C3" s="5">
        <f>Table34101112131814[[#This Row],[Total]]-Table341011[[#This Row],[Total]]</f>
        <v>30793</v>
      </c>
      <c r="D3" s="5">
        <f>Table34101112131814[[#This Row],[  5-11]]-Table341011[[#This Row],[  5-11]]</f>
        <v>12404</v>
      </c>
      <c r="E3" s="5">
        <f>Table34101112131814[[#This Row],[  12-17]]-Table341011[[#This Row],[  12-17]]</f>
        <v>2628</v>
      </c>
      <c r="F3" s="5">
        <f>Table34101112131814[[#This Row],[  18-24]]-Table341011[[#This Row],[  18-24]]</f>
        <v>2006</v>
      </c>
      <c r="G3" s="5">
        <f>Table34101112131814[[#This Row],[  25-29 ]]-Table341011[[#This Row],[  25-29 ]]</f>
        <v>2905</v>
      </c>
      <c r="H3" s="5">
        <f>Table34101112131814[[#This Row],[  30-34]]-Table341011[[#This Row],[  30-34]]</f>
        <v>2436</v>
      </c>
      <c r="I3" s="5">
        <f>Table34101112131814[[#This Row],[  35-39]]-Table341011[[#This Row],[  35-39]]</f>
        <v>1772</v>
      </c>
      <c r="J3" s="5">
        <f>Table34101112131814[[#This Row],[  40-44]]-Table341011[[#This Row],[  40-44]]</f>
        <v>1187</v>
      </c>
      <c r="K3" s="5">
        <f>Table34101112131814[[#This Row],[  45-49 ]]-Table341011[[#This Row],[  45-49 ]]</f>
        <v>1621</v>
      </c>
      <c r="L3" s="5">
        <f>Table34101112131814[[#This Row],[  50-54]]-Table341011[[#This Row],[  50-54]]</f>
        <v>920</v>
      </c>
      <c r="M3" s="5">
        <f>Table34101112131814[[#This Row],[  55-59]]-Table341011[[#This Row],[  55-59]]</f>
        <v>1164</v>
      </c>
      <c r="N3" s="5">
        <f>Table34101112131814[[#This Row],[  60-64]]-Table341011[[#This Row],[  60-64]]</f>
        <v>641</v>
      </c>
      <c r="O3" s="5">
        <f>Table34101112131814[[#This Row],[  65-69]]-Table341011[[#This Row],[  65-69]]</f>
        <v>488</v>
      </c>
      <c r="P3" s="5">
        <f>Table34101112131814[[#This Row],[  70-74]]-Table341011[[#This Row],[  70-74]]</f>
        <v>357</v>
      </c>
      <c r="Q3" s="5">
        <f>Table34101112131814[[#This Row],[  75-79]]-Table341011[[#This Row],[  75-79]]</f>
        <v>107</v>
      </c>
      <c r="R3" s="5">
        <f>Table34101112131814[[#This Row],[  80-84]]-Table341011[[#This Row],[  80-84]]</f>
        <v>39</v>
      </c>
      <c r="S3" s="5">
        <f>Table34101112131814[[#This Row],[  85-89]]-Table341011[[#This Row],[  85-89]]</f>
        <v>62</v>
      </c>
      <c r="T3" s="5">
        <f>Table34101112131814[[#This Row],[  90+]]-Table341011[[#This Row],[  90+]]</f>
        <v>56</v>
      </c>
    </row>
    <row r="4" spans="1:20" x14ac:dyDescent="0.2">
      <c r="A4" s="9" t="s">
        <v>1</v>
      </c>
      <c r="B4" s="6" t="s">
        <v>23</v>
      </c>
      <c r="C4" s="5">
        <f>Table34101112131814[[#This Row],[Total]]-Table341011[[#This Row],[Total]]</f>
        <v>31280</v>
      </c>
      <c r="D4" s="5">
        <f>Table34101112131814[[#This Row],[  5-11]]-Table341011[[#This Row],[  5-11]]</f>
        <v>11562</v>
      </c>
      <c r="E4" s="5">
        <f>Table34101112131814[[#This Row],[  12-17]]-Table341011[[#This Row],[  12-17]]</f>
        <v>2312</v>
      </c>
      <c r="F4" s="5">
        <f>Table34101112131814[[#This Row],[  18-24]]-Table341011[[#This Row],[  18-24]]</f>
        <v>1719</v>
      </c>
      <c r="G4" s="5">
        <f>Table34101112131814[[#This Row],[  25-29 ]]-Table341011[[#This Row],[  25-29 ]]</f>
        <v>3175</v>
      </c>
      <c r="H4" s="5">
        <f>Table34101112131814[[#This Row],[  30-34]]-Table341011[[#This Row],[  30-34]]</f>
        <v>3081</v>
      </c>
      <c r="I4" s="5">
        <f>Table34101112131814[[#This Row],[  35-39]]-Table341011[[#This Row],[  35-39]]</f>
        <v>2175</v>
      </c>
      <c r="J4" s="5">
        <f>Table34101112131814[[#This Row],[  40-44]]-Table341011[[#This Row],[  40-44]]</f>
        <v>1302</v>
      </c>
      <c r="K4" s="5">
        <f>Table34101112131814[[#This Row],[  45-49 ]]-Table341011[[#This Row],[  45-49 ]]</f>
        <v>1472</v>
      </c>
      <c r="L4" s="5">
        <f>Table34101112131814[[#This Row],[  50-54]]-Table341011[[#This Row],[  50-54]]</f>
        <v>973</v>
      </c>
      <c r="M4" s="5">
        <f>Table34101112131814[[#This Row],[  55-59]]-Table341011[[#This Row],[  55-59]]</f>
        <v>1247</v>
      </c>
      <c r="N4" s="5">
        <f>Table34101112131814[[#This Row],[  60-64]]-Table341011[[#This Row],[  60-64]]</f>
        <v>754</v>
      </c>
      <c r="O4" s="5">
        <f>Table34101112131814[[#This Row],[  65-69]]-Table341011[[#This Row],[  65-69]]</f>
        <v>529</v>
      </c>
      <c r="P4" s="5">
        <f>Table34101112131814[[#This Row],[  70-74]]-Table341011[[#This Row],[  70-74]]</f>
        <v>447</v>
      </c>
      <c r="Q4" s="5">
        <f>Table34101112131814[[#This Row],[  75-79]]-Table341011[[#This Row],[  75-79]]</f>
        <v>37</v>
      </c>
      <c r="R4" s="5">
        <f>Table34101112131814[[#This Row],[  80-84]]-Table341011[[#This Row],[  80-84]]</f>
        <v>190</v>
      </c>
      <c r="S4" s="5">
        <f>Table34101112131814[[#This Row],[  85-89]]-Table341011[[#This Row],[  85-89]]</f>
        <v>129</v>
      </c>
      <c r="T4" s="5">
        <f>Table34101112131814[[#This Row],[  90+]]-Table341011[[#This Row],[  90+]]</f>
        <v>176</v>
      </c>
    </row>
    <row r="5" spans="1:20" ht="15" x14ac:dyDescent="0.2">
      <c r="A5" s="8" t="s">
        <v>2</v>
      </c>
      <c r="B5" s="6" t="s">
        <v>22</v>
      </c>
      <c r="C5" s="5">
        <f>Table34101112131814[[#This Row],[Total]]-Table341011[[#This Row],[Total]]</f>
        <v>49706</v>
      </c>
      <c r="D5" s="5">
        <f>Table34101112131814[[#This Row],[  5-11]]-Table341011[[#This Row],[  5-11]]</f>
        <v>21165</v>
      </c>
      <c r="E5" s="5">
        <f>Table34101112131814[[#This Row],[  12-17]]-Table341011[[#This Row],[  12-17]]</f>
        <v>5673</v>
      </c>
      <c r="F5" s="5">
        <f>Table34101112131814[[#This Row],[  18-24]]-Table341011[[#This Row],[  18-24]]</f>
        <v>3467</v>
      </c>
      <c r="G5" s="5">
        <f>Table34101112131814[[#This Row],[  25-29 ]]-Table341011[[#This Row],[  25-29 ]]</f>
        <v>3036</v>
      </c>
      <c r="H5" s="5">
        <f>Table34101112131814[[#This Row],[  30-34]]-Table341011[[#This Row],[  30-34]]</f>
        <v>2626</v>
      </c>
      <c r="I5" s="5">
        <f>Table34101112131814[[#This Row],[  35-39]]-Table341011[[#This Row],[  35-39]]</f>
        <v>2022</v>
      </c>
      <c r="J5" s="5">
        <f>Table34101112131814[[#This Row],[  40-44]]-Table341011[[#This Row],[  40-44]]</f>
        <v>1937</v>
      </c>
      <c r="K5" s="5">
        <f>Table34101112131814[[#This Row],[  45-49 ]]-Table341011[[#This Row],[  45-49 ]]</f>
        <v>2221</v>
      </c>
      <c r="L5" s="5">
        <f>Table34101112131814[[#This Row],[  50-54]]-Table341011[[#This Row],[  50-54]]</f>
        <v>1644</v>
      </c>
      <c r="M5" s="5">
        <f>Table34101112131814[[#This Row],[  55-59]]-Table341011[[#This Row],[  55-59]]</f>
        <v>2090</v>
      </c>
      <c r="N5" s="5">
        <f>Table34101112131814[[#This Row],[  60-64]]-Table341011[[#This Row],[  60-64]]</f>
        <v>1291</v>
      </c>
      <c r="O5" s="5">
        <f>Table34101112131814[[#This Row],[  65-69]]-Table341011[[#This Row],[  65-69]]</f>
        <v>1183</v>
      </c>
      <c r="P5" s="5">
        <f>Table34101112131814[[#This Row],[  70-74]]-Table341011[[#This Row],[  70-74]]</f>
        <v>1007</v>
      </c>
      <c r="Q5" s="5">
        <f>Table34101112131814[[#This Row],[  75-79]]-Table341011[[#This Row],[  75-79]]</f>
        <v>-8</v>
      </c>
      <c r="R5" s="5">
        <f>Table34101112131814[[#This Row],[  80-84]]-Table341011[[#This Row],[  80-84]]</f>
        <v>106</v>
      </c>
      <c r="S5" s="5">
        <f>Table34101112131814[[#This Row],[  85-89]]-Table341011[[#This Row],[  85-89]]</f>
        <v>83</v>
      </c>
      <c r="T5" s="5">
        <f>Table34101112131814[[#This Row],[  90+]]-Table341011[[#This Row],[  90+]]</f>
        <v>163</v>
      </c>
    </row>
    <row r="6" spans="1:20" ht="15" x14ac:dyDescent="0.2">
      <c r="A6" s="8" t="s">
        <v>2</v>
      </c>
      <c r="B6" s="6" t="s">
        <v>0</v>
      </c>
      <c r="C6" s="5">
        <f>Table34101112131814[[#This Row],[Total]]-Table341011[[#This Row],[Total]]</f>
        <v>24746</v>
      </c>
      <c r="D6" s="5">
        <f>Table34101112131814[[#This Row],[  5-11]]-Table341011[[#This Row],[  5-11]]</f>
        <v>10913</v>
      </c>
      <c r="E6" s="5">
        <f>Table34101112131814[[#This Row],[  12-17]]-Table341011[[#This Row],[  12-17]]</f>
        <v>3011</v>
      </c>
      <c r="F6" s="5">
        <f>Table34101112131814[[#This Row],[  18-24]]-Table341011[[#This Row],[  18-24]]</f>
        <v>1789</v>
      </c>
      <c r="G6" s="5">
        <f>Table34101112131814[[#This Row],[  25-29 ]]-Table341011[[#This Row],[  25-29 ]]</f>
        <v>1481</v>
      </c>
      <c r="H6" s="5">
        <f>Table34101112131814[[#This Row],[  30-34]]-Table341011[[#This Row],[  30-34]]</f>
        <v>1158</v>
      </c>
      <c r="I6" s="5">
        <f>Table34101112131814[[#This Row],[  35-39]]-Table341011[[#This Row],[  35-39]]</f>
        <v>915</v>
      </c>
      <c r="J6" s="5">
        <f>Table34101112131814[[#This Row],[  40-44]]-Table341011[[#This Row],[  40-44]]</f>
        <v>889</v>
      </c>
      <c r="K6" s="5">
        <f>Table34101112131814[[#This Row],[  45-49 ]]-Table341011[[#This Row],[  45-49 ]]</f>
        <v>1073</v>
      </c>
      <c r="L6" s="5">
        <f>Table34101112131814[[#This Row],[  50-54]]-Table341011[[#This Row],[  50-54]]</f>
        <v>737</v>
      </c>
      <c r="M6" s="5">
        <f>Table34101112131814[[#This Row],[  55-59]]-Table341011[[#This Row],[  55-59]]</f>
        <v>1001</v>
      </c>
      <c r="N6" s="5">
        <f>Table34101112131814[[#This Row],[  60-64]]-Table341011[[#This Row],[  60-64]]</f>
        <v>573</v>
      </c>
      <c r="O6" s="5">
        <f>Table34101112131814[[#This Row],[  65-69]]-Table341011[[#This Row],[  65-69]]</f>
        <v>557</v>
      </c>
      <c r="P6" s="5">
        <f>Table34101112131814[[#This Row],[  70-74]]-Table341011[[#This Row],[  70-74]]</f>
        <v>509</v>
      </c>
      <c r="Q6" s="5">
        <f>Table34101112131814[[#This Row],[  75-79]]-Table341011[[#This Row],[  75-79]]</f>
        <v>-25</v>
      </c>
      <c r="R6" s="5">
        <f>Table34101112131814[[#This Row],[  80-84]]-Table341011[[#This Row],[  80-84]]</f>
        <v>58</v>
      </c>
      <c r="S6" s="5">
        <f>Table34101112131814[[#This Row],[  85-89]]-Table341011[[#This Row],[  85-89]]</f>
        <v>51</v>
      </c>
      <c r="T6" s="5">
        <f>Table34101112131814[[#This Row],[  90+]]-Table341011[[#This Row],[  90+]]</f>
        <v>56</v>
      </c>
    </row>
    <row r="7" spans="1:20" ht="15" x14ac:dyDescent="0.2">
      <c r="A7" s="8" t="s">
        <v>2</v>
      </c>
      <c r="B7" s="6" t="s">
        <v>23</v>
      </c>
      <c r="C7" s="5">
        <f>Table34101112131814[[#This Row],[Total]]-Table341011[[#This Row],[Total]]</f>
        <v>24960</v>
      </c>
      <c r="D7" s="5">
        <f>Table34101112131814[[#This Row],[  5-11]]-Table341011[[#This Row],[  5-11]]</f>
        <v>10252</v>
      </c>
      <c r="E7" s="5">
        <f>Table34101112131814[[#This Row],[  12-17]]-Table341011[[#This Row],[  12-17]]</f>
        <v>2662</v>
      </c>
      <c r="F7" s="5">
        <f>Table34101112131814[[#This Row],[  18-24]]-Table341011[[#This Row],[  18-24]]</f>
        <v>1678</v>
      </c>
      <c r="G7" s="5">
        <f>Table34101112131814[[#This Row],[  25-29 ]]-Table341011[[#This Row],[  25-29 ]]</f>
        <v>1555</v>
      </c>
      <c r="H7" s="5">
        <f>Table34101112131814[[#This Row],[  30-34]]-Table341011[[#This Row],[  30-34]]</f>
        <v>1468</v>
      </c>
      <c r="I7" s="5">
        <f>Table34101112131814[[#This Row],[  35-39]]-Table341011[[#This Row],[  35-39]]</f>
        <v>1107</v>
      </c>
      <c r="J7" s="5">
        <f>Table34101112131814[[#This Row],[  40-44]]-Table341011[[#This Row],[  40-44]]</f>
        <v>1048</v>
      </c>
      <c r="K7" s="5">
        <f>Table34101112131814[[#This Row],[  45-49 ]]-Table341011[[#This Row],[  45-49 ]]</f>
        <v>1148</v>
      </c>
      <c r="L7" s="5">
        <f>Table34101112131814[[#This Row],[  50-54]]-Table341011[[#This Row],[  50-54]]</f>
        <v>907</v>
      </c>
      <c r="M7" s="5">
        <f>Table34101112131814[[#This Row],[  55-59]]-Table341011[[#This Row],[  55-59]]</f>
        <v>1089</v>
      </c>
      <c r="N7" s="5">
        <f>Table34101112131814[[#This Row],[  60-64]]-Table341011[[#This Row],[  60-64]]</f>
        <v>718</v>
      </c>
      <c r="O7" s="5">
        <f>Table34101112131814[[#This Row],[  65-69]]-Table341011[[#This Row],[  65-69]]</f>
        <v>626</v>
      </c>
      <c r="P7" s="5">
        <f>Table34101112131814[[#This Row],[  70-74]]-Table341011[[#This Row],[  70-74]]</f>
        <v>498</v>
      </c>
      <c r="Q7" s="5">
        <f>Table34101112131814[[#This Row],[  75-79]]-Table341011[[#This Row],[  75-79]]</f>
        <v>17</v>
      </c>
      <c r="R7" s="5">
        <f>Table34101112131814[[#This Row],[  80-84]]-Table341011[[#This Row],[  80-84]]</f>
        <v>48</v>
      </c>
      <c r="S7" s="5">
        <f>Table34101112131814[[#This Row],[  85-89]]-Table341011[[#This Row],[  85-89]]</f>
        <v>32</v>
      </c>
      <c r="T7" s="5">
        <f>Table34101112131814[[#This Row],[  90+]]-Table341011[[#This Row],[  90+]]</f>
        <v>107</v>
      </c>
    </row>
    <row r="8" spans="1:20" x14ac:dyDescent="0.2">
      <c r="A8" s="9" t="s">
        <v>3</v>
      </c>
      <c r="B8" s="6" t="s">
        <v>22</v>
      </c>
      <c r="C8" s="5">
        <f>Table34101112131814[[#This Row],[Total]]-Table341011[[#This Row],[Total]]</f>
        <v>65807</v>
      </c>
      <c r="D8" s="5">
        <f>Table34101112131814[[#This Row],[  5-11]]-Table341011[[#This Row],[  5-11]]</f>
        <v>33114</v>
      </c>
      <c r="E8" s="5">
        <f>Table34101112131814[[#This Row],[  12-17]]-Table341011[[#This Row],[  12-17]]</f>
        <v>6391</v>
      </c>
      <c r="F8" s="5">
        <f>Table34101112131814[[#This Row],[  18-24]]-Table341011[[#This Row],[  18-24]]</f>
        <v>2804</v>
      </c>
      <c r="G8" s="5">
        <f>Table34101112131814[[#This Row],[  25-29 ]]-Table341011[[#This Row],[  25-29 ]]</f>
        <v>4643</v>
      </c>
      <c r="H8" s="5">
        <f>Table34101112131814[[#This Row],[  30-34]]-Table341011[[#This Row],[  30-34]]</f>
        <v>3629</v>
      </c>
      <c r="I8" s="5">
        <f>Table34101112131814[[#This Row],[  35-39]]-Table341011[[#This Row],[  35-39]]</f>
        <v>2674</v>
      </c>
      <c r="J8" s="5">
        <f>Table34101112131814[[#This Row],[  40-44]]-Table341011[[#This Row],[  40-44]]</f>
        <v>2126</v>
      </c>
      <c r="K8" s="5">
        <f>Table34101112131814[[#This Row],[  45-49 ]]-Table341011[[#This Row],[  45-49 ]]</f>
        <v>3431</v>
      </c>
      <c r="L8" s="5">
        <f>Table34101112131814[[#This Row],[  50-54]]-Table341011[[#This Row],[  50-54]]</f>
        <v>2064</v>
      </c>
      <c r="M8" s="5">
        <f>Table34101112131814[[#This Row],[  55-59]]-Table341011[[#This Row],[  55-59]]</f>
        <v>2281</v>
      </c>
      <c r="N8" s="5">
        <f>Table34101112131814[[#This Row],[  60-64]]-Table341011[[#This Row],[  60-64]]</f>
        <v>1159</v>
      </c>
      <c r="O8" s="5">
        <f>Table34101112131814[[#This Row],[  65-69]]-Table341011[[#This Row],[  65-69]]</f>
        <v>803</v>
      </c>
      <c r="P8" s="5">
        <f>Table34101112131814[[#This Row],[  70-74]]-Table341011[[#This Row],[  70-74]]</f>
        <v>967</v>
      </c>
      <c r="Q8" s="5">
        <f>Table34101112131814[[#This Row],[  75-79]]-Table341011[[#This Row],[  75-79]]</f>
        <v>-504</v>
      </c>
      <c r="R8" s="5">
        <f>Table34101112131814[[#This Row],[  80-84]]-Table341011[[#This Row],[  80-84]]</f>
        <v>0</v>
      </c>
      <c r="S8" s="5">
        <f>Table34101112131814[[#This Row],[  85-89]]-Table341011[[#This Row],[  85-89]]</f>
        <v>23</v>
      </c>
      <c r="T8" s="5">
        <f>Table34101112131814[[#This Row],[  90+]]-Table341011[[#This Row],[  90+]]</f>
        <v>202</v>
      </c>
    </row>
    <row r="9" spans="1:20" x14ac:dyDescent="0.2">
      <c r="A9" s="9" t="s">
        <v>3</v>
      </c>
      <c r="B9" s="6" t="s">
        <v>0</v>
      </c>
      <c r="C9" s="5">
        <f>Table34101112131814[[#This Row],[Total]]-Table341011[[#This Row],[Total]]</f>
        <v>33590</v>
      </c>
      <c r="D9" s="5">
        <f>Table34101112131814[[#This Row],[  5-11]]-Table341011[[#This Row],[  5-11]]</f>
        <v>16965</v>
      </c>
      <c r="E9" s="5">
        <f>Table34101112131814[[#This Row],[  12-17]]-Table341011[[#This Row],[  12-17]]</f>
        <v>3380</v>
      </c>
      <c r="F9" s="5">
        <f>Table34101112131814[[#This Row],[  18-24]]-Table341011[[#This Row],[  18-24]]</f>
        <v>1476</v>
      </c>
      <c r="G9" s="5">
        <f>Table34101112131814[[#This Row],[  25-29 ]]-Table341011[[#This Row],[  25-29 ]]</f>
        <v>2266</v>
      </c>
      <c r="H9" s="5">
        <f>Table34101112131814[[#This Row],[  30-34]]-Table341011[[#This Row],[  30-34]]</f>
        <v>1905</v>
      </c>
      <c r="I9" s="5">
        <f>Table34101112131814[[#This Row],[  35-39]]-Table341011[[#This Row],[  35-39]]</f>
        <v>1355</v>
      </c>
      <c r="J9" s="5">
        <f>Table34101112131814[[#This Row],[  40-44]]-Table341011[[#This Row],[  40-44]]</f>
        <v>1041</v>
      </c>
      <c r="K9" s="5">
        <f>Table34101112131814[[#This Row],[  45-49 ]]-Table341011[[#This Row],[  45-49 ]]</f>
        <v>1700</v>
      </c>
      <c r="L9" s="5">
        <f>Table34101112131814[[#This Row],[  50-54]]-Table341011[[#This Row],[  50-54]]</f>
        <v>1094</v>
      </c>
      <c r="M9" s="5">
        <f>Table34101112131814[[#This Row],[  55-59]]-Table341011[[#This Row],[  55-59]]</f>
        <v>1096</v>
      </c>
      <c r="N9" s="5">
        <f>Table34101112131814[[#This Row],[  60-64]]-Table341011[[#This Row],[  60-64]]</f>
        <v>590</v>
      </c>
      <c r="O9" s="5">
        <f>Table34101112131814[[#This Row],[  65-69]]-Table341011[[#This Row],[  65-69]]</f>
        <v>382</v>
      </c>
      <c r="P9" s="5">
        <f>Table34101112131814[[#This Row],[  70-74]]-Table341011[[#This Row],[  70-74]]</f>
        <v>498</v>
      </c>
      <c r="Q9" s="5">
        <f>Table34101112131814[[#This Row],[  75-79]]-Table341011[[#This Row],[  75-79]]</f>
        <v>-163</v>
      </c>
      <c r="R9" s="5">
        <f>Table34101112131814[[#This Row],[  80-84]]-Table341011[[#This Row],[  80-84]]</f>
        <v>-32</v>
      </c>
      <c r="S9" s="5">
        <f>Table34101112131814[[#This Row],[  85-89]]-Table341011[[#This Row],[  85-89]]</f>
        <v>-24</v>
      </c>
      <c r="T9" s="5">
        <f>Table34101112131814[[#This Row],[  90+]]-Table341011[[#This Row],[  90+]]</f>
        <v>61</v>
      </c>
    </row>
    <row r="10" spans="1:20" x14ac:dyDescent="0.2">
      <c r="A10" s="9" t="s">
        <v>3</v>
      </c>
      <c r="B10" s="6" t="s">
        <v>23</v>
      </c>
      <c r="C10" s="5">
        <f>Table34101112131814[[#This Row],[Total]]-Table341011[[#This Row],[Total]]</f>
        <v>32217</v>
      </c>
      <c r="D10" s="5">
        <f>Table34101112131814[[#This Row],[  5-11]]-Table341011[[#This Row],[  5-11]]</f>
        <v>16149</v>
      </c>
      <c r="E10" s="5">
        <f>Table34101112131814[[#This Row],[  12-17]]-Table341011[[#This Row],[  12-17]]</f>
        <v>3011</v>
      </c>
      <c r="F10" s="5">
        <f>Table34101112131814[[#This Row],[  18-24]]-Table341011[[#This Row],[  18-24]]</f>
        <v>1328</v>
      </c>
      <c r="G10" s="5">
        <f>Table34101112131814[[#This Row],[  25-29 ]]-Table341011[[#This Row],[  25-29 ]]</f>
        <v>2377</v>
      </c>
      <c r="H10" s="5">
        <f>Table34101112131814[[#This Row],[  30-34]]-Table341011[[#This Row],[  30-34]]</f>
        <v>1724</v>
      </c>
      <c r="I10" s="5">
        <f>Table34101112131814[[#This Row],[  35-39]]-Table341011[[#This Row],[  35-39]]</f>
        <v>1319</v>
      </c>
      <c r="J10" s="5">
        <f>Table34101112131814[[#This Row],[  40-44]]-Table341011[[#This Row],[  40-44]]</f>
        <v>1085</v>
      </c>
      <c r="K10" s="5">
        <f>Table34101112131814[[#This Row],[  45-49 ]]-Table341011[[#This Row],[  45-49 ]]</f>
        <v>1731</v>
      </c>
      <c r="L10" s="5">
        <f>Table34101112131814[[#This Row],[  50-54]]-Table341011[[#This Row],[  50-54]]</f>
        <v>970</v>
      </c>
      <c r="M10" s="5">
        <f>Table34101112131814[[#This Row],[  55-59]]-Table341011[[#This Row],[  55-59]]</f>
        <v>1185</v>
      </c>
      <c r="N10" s="5">
        <f>Table34101112131814[[#This Row],[  60-64]]-Table341011[[#This Row],[  60-64]]</f>
        <v>569</v>
      </c>
      <c r="O10" s="5">
        <f>Table34101112131814[[#This Row],[  65-69]]-Table341011[[#This Row],[  65-69]]</f>
        <v>421</v>
      </c>
      <c r="P10" s="5">
        <f>Table34101112131814[[#This Row],[  70-74]]-Table341011[[#This Row],[  70-74]]</f>
        <v>469</v>
      </c>
      <c r="Q10" s="5">
        <f>Table34101112131814[[#This Row],[  75-79]]-Table341011[[#This Row],[  75-79]]</f>
        <v>-341</v>
      </c>
      <c r="R10" s="5">
        <f>Table34101112131814[[#This Row],[  80-84]]-Table341011[[#This Row],[  80-84]]</f>
        <v>32</v>
      </c>
      <c r="S10" s="5">
        <f>Table34101112131814[[#This Row],[  85-89]]-Table341011[[#This Row],[  85-89]]</f>
        <v>47</v>
      </c>
      <c r="T10" s="5">
        <f>Table34101112131814[[#This Row],[  90+]]-Table341011[[#This Row],[  90+]]</f>
        <v>141</v>
      </c>
    </row>
    <row r="11" spans="1:20" x14ac:dyDescent="0.2">
      <c r="A11" s="9" t="s">
        <v>4</v>
      </c>
      <c r="B11" s="6" t="s">
        <v>22</v>
      </c>
      <c r="C11" s="5">
        <f>Table34101112131814[[#This Row],[Total]]-Table341011[[#This Row],[Total]]</f>
        <v>33258</v>
      </c>
      <c r="D11" s="5">
        <f>Table34101112131814[[#This Row],[  5-11]]-Table341011[[#This Row],[  5-11]]</f>
        <v>14644</v>
      </c>
      <c r="E11" s="5">
        <f>Table34101112131814[[#This Row],[  12-17]]-Table341011[[#This Row],[  12-17]]</f>
        <v>2763</v>
      </c>
      <c r="F11" s="5">
        <f>Table34101112131814[[#This Row],[  18-24]]-Table341011[[#This Row],[  18-24]]</f>
        <v>1875</v>
      </c>
      <c r="G11" s="5">
        <f>Table34101112131814[[#This Row],[  25-29 ]]-Table341011[[#This Row],[  25-29 ]]</f>
        <v>2766</v>
      </c>
      <c r="H11" s="5">
        <f>Table34101112131814[[#This Row],[  30-34]]-Table341011[[#This Row],[  30-34]]</f>
        <v>2461</v>
      </c>
      <c r="I11" s="5">
        <f>Table34101112131814[[#This Row],[  35-39]]-Table341011[[#This Row],[  35-39]]</f>
        <v>1985</v>
      </c>
      <c r="J11" s="5">
        <f>Table34101112131814[[#This Row],[  40-44]]-Table341011[[#This Row],[  40-44]]</f>
        <v>1330</v>
      </c>
      <c r="K11" s="5">
        <f>Table34101112131814[[#This Row],[  45-49 ]]-Table341011[[#This Row],[  45-49 ]]</f>
        <v>1746</v>
      </c>
      <c r="L11" s="5">
        <f>Table34101112131814[[#This Row],[  50-54]]-Table341011[[#This Row],[  50-54]]</f>
        <v>1156</v>
      </c>
      <c r="M11" s="5">
        <f>Table34101112131814[[#This Row],[  55-59]]-Table341011[[#This Row],[  55-59]]</f>
        <v>1081</v>
      </c>
      <c r="N11" s="5">
        <f>Table34101112131814[[#This Row],[  60-64]]-Table341011[[#This Row],[  60-64]]</f>
        <v>418</v>
      </c>
      <c r="O11" s="5">
        <f>Table34101112131814[[#This Row],[  65-69]]-Table341011[[#This Row],[  65-69]]</f>
        <v>622</v>
      </c>
      <c r="P11" s="5">
        <f>Table34101112131814[[#This Row],[  70-74]]-Table341011[[#This Row],[  70-74]]</f>
        <v>455</v>
      </c>
      <c r="Q11" s="5">
        <f>Table34101112131814[[#This Row],[  75-79]]-Table341011[[#This Row],[  75-79]]</f>
        <v>-162</v>
      </c>
      <c r="R11" s="5">
        <f>Table34101112131814[[#This Row],[  80-84]]-Table341011[[#This Row],[  80-84]]</f>
        <v>-45</v>
      </c>
      <c r="S11" s="5">
        <f>Table34101112131814[[#This Row],[  85-89]]-Table341011[[#This Row],[  85-89]]</f>
        <v>88</v>
      </c>
      <c r="T11" s="5">
        <f>Table34101112131814[[#This Row],[  90+]]-Table341011[[#This Row],[  90+]]</f>
        <v>75</v>
      </c>
    </row>
    <row r="12" spans="1:20" x14ac:dyDescent="0.2">
      <c r="A12" s="9" t="s">
        <v>4</v>
      </c>
      <c r="B12" s="6" t="s">
        <v>0</v>
      </c>
      <c r="C12" s="5">
        <f>Table34101112131814[[#This Row],[Total]]-Table341011[[#This Row],[Total]]</f>
        <v>16638</v>
      </c>
      <c r="D12" s="5">
        <f>Table34101112131814[[#This Row],[  5-11]]-Table341011[[#This Row],[  5-11]]</f>
        <v>7561</v>
      </c>
      <c r="E12" s="5">
        <f>Table34101112131814[[#This Row],[  12-17]]-Table341011[[#This Row],[  12-17]]</f>
        <v>1384</v>
      </c>
      <c r="F12" s="5">
        <f>Table34101112131814[[#This Row],[  18-24]]-Table341011[[#This Row],[  18-24]]</f>
        <v>1031</v>
      </c>
      <c r="G12" s="5">
        <f>Table34101112131814[[#This Row],[  25-29 ]]-Table341011[[#This Row],[  25-29 ]]</f>
        <v>1289</v>
      </c>
      <c r="H12" s="5">
        <f>Table34101112131814[[#This Row],[  30-34]]-Table341011[[#This Row],[  30-34]]</f>
        <v>1189</v>
      </c>
      <c r="I12" s="5">
        <f>Table34101112131814[[#This Row],[  35-39]]-Table341011[[#This Row],[  35-39]]</f>
        <v>874</v>
      </c>
      <c r="J12" s="5">
        <f>Table34101112131814[[#This Row],[  40-44]]-Table341011[[#This Row],[  40-44]]</f>
        <v>729</v>
      </c>
      <c r="K12" s="5">
        <f>Table34101112131814[[#This Row],[  45-49 ]]-Table341011[[#This Row],[  45-49 ]]</f>
        <v>869</v>
      </c>
      <c r="L12" s="5">
        <f>Table34101112131814[[#This Row],[  50-54]]-Table341011[[#This Row],[  50-54]]</f>
        <v>555</v>
      </c>
      <c r="M12" s="5">
        <f>Table34101112131814[[#This Row],[  55-59]]-Table341011[[#This Row],[  55-59]]</f>
        <v>533</v>
      </c>
      <c r="N12" s="5">
        <f>Table34101112131814[[#This Row],[  60-64]]-Table341011[[#This Row],[  60-64]]</f>
        <v>225</v>
      </c>
      <c r="O12" s="5">
        <f>Table34101112131814[[#This Row],[  65-69]]-Table341011[[#This Row],[  65-69]]</f>
        <v>292</v>
      </c>
      <c r="P12" s="5">
        <f>Table34101112131814[[#This Row],[  70-74]]-Table341011[[#This Row],[  70-74]]</f>
        <v>238</v>
      </c>
      <c r="Q12" s="5">
        <f>Table34101112131814[[#This Row],[  75-79]]-Table341011[[#This Row],[  75-79]]</f>
        <v>-113</v>
      </c>
      <c r="R12" s="5">
        <f>Table34101112131814[[#This Row],[  80-84]]-Table341011[[#This Row],[  80-84]]</f>
        <v>-70</v>
      </c>
      <c r="S12" s="5">
        <f>Table34101112131814[[#This Row],[  85-89]]-Table341011[[#This Row],[  85-89]]</f>
        <v>29</v>
      </c>
      <c r="T12" s="5">
        <f>Table34101112131814[[#This Row],[  90+]]-Table341011[[#This Row],[  90+]]</f>
        <v>23</v>
      </c>
    </row>
    <row r="13" spans="1:20" x14ac:dyDescent="0.2">
      <c r="A13" s="9" t="s">
        <v>4</v>
      </c>
      <c r="B13" s="6" t="s">
        <v>23</v>
      </c>
      <c r="C13" s="5">
        <f>Table34101112131814[[#This Row],[Total]]-Table341011[[#This Row],[Total]]</f>
        <v>16620</v>
      </c>
      <c r="D13" s="5">
        <f>Table34101112131814[[#This Row],[  5-11]]-Table341011[[#This Row],[  5-11]]</f>
        <v>7083</v>
      </c>
      <c r="E13" s="5">
        <f>Table34101112131814[[#This Row],[  12-17]]-Table341011[[#This Row],[  12-17]]</f>
        <v>1379</v>
      </c>
      <c r="F13" s="5">
        <f>Table34101112131814[[#This Row],[  18-24]]-Table341011[[#This Row],[  18-24]]</f>
        <v>844</v>
      </c>
      <c r="G13" s="5">
        <f>Table34101112131814[[#This Row],[  25-29 ]]-Table341011[[#This Row],[  25-29 ]]</f>
        <v>1477</v>
      </c>
      <c r="H13" s="5">
        <f>Table34101112131814[[#This Row],[  30-34]]-Table341011[[#This Row],[  30-34]]</f>
        <v>1272</v>
      </c>
      <c r="I13" s="5">
        <f>Table34101112131814[[#This Row],[  35-39]]-Table341011[[#This Row],[  35-39]]</f>
        <v>1111</v>
      </c>
      <c r="J13" s="5">
        <f>Table34101112131814[[#This Row],[  40-44]]-Table341011[[#This Row],[  40-44]]</f>
        <v>601</v>
      </c>
      <c r="K13" s="5">
        <f>Table34101112131814[[#This Row],[  45-49 ]]-Table341011[[#This Row],[  45-49 ]]</f>
        <v>877</v>
      </c>
      <c r="L13" s="5">
        <f>Table34101112131814[[#This Row],[  50-54]]-Table341011[[#This Row],[  50-54]]</f>
        <v>601</v>
      </c>
      <c r="M13" s="5">
        <f>Table34101112131814[[#This Row],[  55-59]]-Table341011[[#This Row],[  55-59]]</f>
        <v>548</v>
      </c>
      <c r="N13" s="5">
        <f>Table34101112131814[[#This Row],[  60-64]]-Table341011[[#This Row],[  60-64]]</f>
        <v>193</v>
      </c>
      <c r="O13" s="5">
        <f>Table34101112131814[[#This Row],[  65-69]]-Table341011[[#This Row],[  65-69]]</f>
        <v>330</v>
      </c>
      <c r="P13" s="5">
        <f>Table34101112131814[[#This Row],[  70-74]]-Table341011[[#This Row],[  70-74]]</f>
        <v>217</v>
      </c>
      <c r="Q13" s="5">
        <f>Table34101112131814[[#This Row],[  75-79]]-Table341011[[#This Row],[  75-79]]</f>
        <v>-49</v>
      </c>
      <c r="R13" s="5">
        <f>Table34101112131814[[#This Row],[  80-84]]-Table341011[[#This Row],[  80-84]]</f>
        <v>25</v>
      </c>
      <c r="S13" s="5">
        <f>Table34101112131814[[#This Row],[  85-89]]-Table341011[[#This Row],[  85-89]]</f>
        <v>59</v>
      </c>
      <c r="T13" s="5">
        <f>Table34101112131814[[#This Row],[  90+]]-Table341011[[#This Row],[  90+]]</f>
        <v>52</v>
      </c>
    </row>
    <row r="14" spans="1:20" x14ac:dyDescent="0.2">
      <c r="A14" s="9" t="s">
        <v>5</v>
      </c>
      <c r="B14" s="6" t="s">
        <v>22</v>
      </c>
      <c r="C14" s="5">
        <f>Table34101112131814[[#This Row],[Total]]-Table341011[[#This Row],[Total]]</f>
        <v>95723</v>
      </c>
      <c r="D14" s="5">
        <f>Table34101112131814[[#This Row],[  5-11]]-Table341011[[#This Row],[  5-11]]</f>
        <v>46541</v>
      </c>
      <c r="E14" s="5">
        <f>Table34101112131814[[#This Row],[  12-17]]-Table341011[[#This Row],[  12-17]]</f>
        <v>9783</v>
      </c>
      <c r="F14" s="5">
        <f>Table34101112131814[[#This Row],[  18-24]]-Table341011[[#This Row],[  18-24]]</f>
        <v>6387</v>
      </c>
      <c r="G14" s="5">
        <f>Table34101112131814[[#This Row],[  25-29 ]]-Table341011[[#This Row],[  25-29 ]]</f>
        <v>7007</v>
      </c>
      <c r="H14" s="5">
        <f>Table34101112131814[[#This Row],[  30-34]]-Table341011[[#This Row],[  30-34]]</f>
        <v>5091</v>
      </c>
      <c r="I14" s="5">
        <f>Table34101112131814[[#This Row],[  35-39]]-Table341011[[#This Row],[  35-39]]</f>
        <v>3552</v>
      </c>
      <c r="J14" s="5">
        <f>Table34101112131814[[#This Row],[  40-44]]-Table341011[[#This Row],[  40-44]]</f>
        <v>2508</v>
      </c>
      <c r="K14" s="5">
        <f>Table34101112131814[[#This Row],[  45-49 ]]-Table341011[[#This Row],[  45-49 ]]</f>
        <v>3411</v>
      </c>
      <c r="L14" s="5">
        <f>Table34101112131814[[#This Row],[  50-54]]-Table341011[[#This Row],[  50-54]]</f>
        <v>2873</v>
      </c>
      <c r="M14" s="5">
        <f>Table34101112131814[[#This Row],[  55-59]]-Table341011[[#This Row],[  55-59]]</f>
        <v>3179</v>
      </c>
      <c r="N14" s="5">
        <f>Table34101112131814[[#This Row],[  60-64]]-Table341011[[#This Row],[  60-64]]</f>
        <v>1589</v>
      </c>
      <c r="O14" s="5">
        <f>Table34101112131814[[#This Row],[  65-69]]-Table341011[[#This Row],[  65-69]]</f>
        <v>1583</v>
      </c>
      <c r="P14" s="5">
        <f>Table34101112131814[[#This Row],[  70-74]]-Table341011[[#This Row],[  70-74]]</f>
        <v>1193</v>
      </c>
      <c r="Q14" s="5">
        <f>Table34101112131814[[#This Row],[  75-79]]-Table341011[[#This Row],[  75-79]]</f>
        <v>384</v>
      </c>
      <c r="R14" s="5">
        <f>Table34101112131814[[#This Row],[  80-84]]-Table341011[[#This Row],[  80-84]]</f>
        <v>367</v>
      </c>
      <c r="S14" s="5">
        <f>Table34101112131814[[#This Row],[  85-89]]-Table341011[[#This Row],[  85-89]]</f>
        <v>89</v>
      </c>
      <c r="T14" s="5">
        <f>Table34101112131814[[#This Row],[  90+]]-Table341011[[#This Row],[  90+]]</f>
        <v>186</v>
      </c>
    </row>
    <row r="15" spans="1:20" x14ac:dyDescent="0.2">
      <c r="A15" s="9" t="s">
        <v>5</v>
      </c>
      <c r="B15" s="6" t="s">
        <v>0</v>
      </c>
      <c r="C15" s="5">
        <f>Table34101112131814[[#This Row],[Total]]-Table341011[[#This Row],[Total]]</f>
        <v>48738</v>
      </c>
      <c r="D15" s="5">
        <f>Table34101112131814[[#This Row],[  5-11]]-Table341011[[#This Row],[  5-11]]</f>
        <v>24251</v>
      </c>
      <c r="E15" s="5">
        <f>Table34101112131814[[#This Row],[  12-17]]-Table341011[[#This Row],[  12-17]]</f>
        <v>5164</v>
      </c>
      <c r="F15" s="5">
        <f>Table34101112131814[[#This Row],[  18-24]]-Table341011[[#This Row],[  18-24]]</f>
        <v>3395</v>
      </c>
      <c r="G15" s="5">
        <f>Table34101112131814[[#This Row],[  25-29 ]]-Table341011[[#This Row],[  25-29 ]]</f>
        <v>3416</v>
      </c>
      <c r="H15" s="5">
        <f>Table34101112131814[[#This Row],[  30-34]]-Table341011[[#This Row],[  30-34]]</f>
        <v>2493</v>
      </c>
      <c r="I15" s="5">
        <f>Table34101112131814[[#This Row],[  35-39]]-Table341011[[#This Row],[  35-39]]</f>
        <v>1535</v>
      </c>
      <c r="J15" s="5">
        <f>Table34101112131814[[#This Row],[  40-44]]-Table341011[[#This Row],[  40-44]]</f>
        <v>1193</v>
      </c>
      <c r="K15" s="5">
        <f>Table34101112131814[[#This Row],[  45-49 ]]-Table341011[[#This Row],[  45-49 ]]</f>
        <v>1731</v>
      </c>
      <c r="L15" s="5">
        <f>Table34101112131814[[#This Row],[  50-54]]-Table341011[[#This Row],[  50-54]]</f>
        <v>1466</v>
      </c>
      <c r="M15" s="5">
        <f>Table34101112131814[[#This Row],[  55-59]]-Table341011[[#This Row],[  55-59]]</f>
        <v>1640</v>
      </c>
      <c r="N15" s="5">
        <f>Table34101112131814[[#This Row],[  60-64]]-Table341011[[#This Row],[  60-64]]</f>
        <v>795</v>
      </c>
      <c r="O15" s="5">
        <f>Table34101112131814[[#This Row],[  65-69]]-Table341011[[#This Row],[  65-69]]</f>
        <v>696</v>
      </c>
      <c r="P15" s="5">
        <f>Table34101112131814[[#This Row],[  70-74]]-Table341011[[#This Row],[  70-74]]</f>
        <v>565</v>
      </c>
      <c r="Q15" s="5">
        <f>Table34101112131814[[#This Row],[  75-79]]-Table341011[[#This Row],[  75-79]]</f>
        <v>201</v>
      </c>
      <c r="R15" s="5">
        <f>Table34101112131814[[#This Row],[  80-84]]-Table341011[[#This Row],[  80-84]]</f>
        <v>96</v>
      </c>
      <c r="S15" s="5">
        <f>Table34101112131814[[#This Row],[  85-89]]-Table341011[[#This Row],[  85-89]]</f>
        <v>21</v>
      </c>
      <c r="T15" s="5">
        <f>Table34101112131814[[#This Row],[  90+]]-Table341011[[#This Row],[  90+]]</f>
        <v>80</v>
      </c>
    </row>
    <row r="16" spans="1:20" x14ac:dyDescent="0.2">
      <c r="A16" s="9" t="s">
        <v>5</v>
      </c>
      <c r="B16" s="6" t="s">
        <v>23</v>
      </c>
      <c r="C16" s="5">
        <f>Table34101112131814[[#This Row],[Total]]-Table341011[[#This Row],[Total]]</f>
        <v>46985</v>
      </c>
      <c r="D16" s="5">
        <f>Table34101112131814[[#This Row],[  5-11]]-Table341011[[#This Row],[  5-11]]</f>
        <v>22290</v>
      </c>
      <c r="E16" s="5">
        <f>Table34101112131814[[#This Row],[  12-17]]-Table341011[[#This Row],[  12-17]]</f>
        <v>4619</v>
      </c>
      <c r="F16" s="5">
        <f>Table34101112131814[[#This Row],[  18-24]]-Table341011[[#This Row],[  18-24]]</f>
        <v>2992</v>
      </c>
      <c r="G16" s="5">
        <f>Table34101112131814[[#This Row],[  25-29 ]]-Table341011[[#This Row],[  25-29 ]]</f>
        <v>3591</v>
      </c>
      <c r="H16" s="5">
        <f>Table34101112131814[[#This Row],[  30-34]]-Table341011[[#This Row],[  30-34]]</f>
        <v>2598</v>
      </c>
      <c r="I16" s="5">
        <f>Table34101112131814[[#This Row],[  35-39]]-Table341011[[#This Row],[  35-39]]</f>
        <v>2017</v>
      </c>
      <c r="J16" s="5">
        <f>Table34101112131814[[#This Row],[  40-44]]-Table341011[[#This Row],[  40-44]]</f>
        <v>1315</v>
      </c>
      <c r="K16" s="5">
        <f>Table34101112131814[[#This Row],[  45-49 ]]-Table341011[[#This Row],[  45-49 ]]</f>
        <v>1680</v>
      </c>
      <c r="L16" s="5">
        <f>Table34101112131814[[#This Row],[  50-54]]-Table341011[[#This Row],[  50-54]]</f>
        <v>1407</v>
      </c>
      <c r="M16" s="5">
        <f>Table34101112131814[[#This Row],[  55-59]]-Table341011[[#This Row],[  55-59]]</f>
        <v>1539</v>
      </c>
      <c r="N16" s="5">
        <f>Table34101112131814[[#This Row],[  60-64]]-Table341011[[#This Row],[  60-64]]</f>
        <v>794</v>
      </c>
      <c r="O16" s="5">
        <f>Table34101112131814[[#This Row],[  65-69]]-Table341011[[#This Row],[  65-69]]</f>
        <v>887</v>
      </c>
      <c r="P16" s="5">
        <f>Table34101112131814[[#This Row],[  70-74]]-Table341011[[#This Row],[  70-74]]</f>
        <v>628</v>
      </c>
      <c r="Q16" s="5">
        <f>Table34101112131814[[#This Row],[  75-79]]-Table341011[[#This Row],[  75-79]]</f>
        <v>183</v>
      </c>
      <c r="R16" s="5">
        <f>Table34101112131814[[#This Row],[  80-84]]-Table341011[[#This Row],[  80-84]]</f>
        <v>271</v>
      </c>
      <c r="S16" s="5">
        <f>Table34101112131814[[#This Row],[  85-89]]-Table341011[[#This Row],[  85-89]]</f>
        <v>68</v>
      </c>
      <c r="T16" s="5">
        <f>Table34101112131814[[#This Row],[  90+]]-Table341011[[#This Row],[  90+]]</f>
        <v>106</v>
      </c>
    </row>
    <row r="17" spans="1:20" x14ac:dyDescent="0.2">
      <c r="A17" s="12" t="s">
        <v>6</v>
      </c>
      <c r="B17" s="6" t="s">
        <v>22</v>
      </c>
      <c r="C17" s="5">
        <f>Table34101112131814[[#This Row],[Total]]-Table341011[[#This Row],[Total]]</f>
        <v>27856</v>
      </c>
      <c r="D17" s="5">
        <f>Table34101112131814[[#This Row],[  5-11]]-Table341011[[#This Row],[  5-11]]</f>
        <v>13857</v>
      </c>
      <c r="E17" s="5">
        <f>Table34101112131814[[#This Row],[  12-17]]-Table341011[[#This Row],[  12-17]]</f>
        <v>3445</v>
      </c>
      <c r="F17" s="5">
        <f>Table34101112131814[[#This Row],[  18-24]]-Table341011[[#This Row],[  18-24]]</f>
        <v>1659</v>
      </c>
      <c r="G17" s="5">
        <f>Table34101112131814[[#This Row],[  25-29 ]]-Table341011[[#This Row],[  25-29 ]]</f>
        <v>1367</v>
      </c>
      <c r="H17" s="5">
        <f>Table34101112131814[[#This Row],[  30-34]]-Table341011[[#This Row],[  30-34]]</f>
        <v>974</v>
      </c>
      <c r="I17" s="5">
        <f>Table34101112131814[[#This Row],[  35-39]]-Table341011[[#This Row],[  35-39]]</f>
        <v>741</v>
      </c>
      <c r="J17" s="5">
        <f>Table34101112131814[[#This Row],[  40-44]]-Table341011[[#This Row],[  40-44]]</f>
        <v>877</v>
      </c>
      <c r="K17" s="5">
        <f>Table34101112131814[[#This Row],[  45-49 ]]-Table341011[[#This Row],[  45-49 ]]</f>
        <v>1262</v>
      </c>
      <c r="L17" s="5">
        <f>Table34101112131814[[#This Row],[  50-54]]-Table341011[[#This Row],[  50-54]]</f>
        <v>865</v>
      </c>
      <c r="M17" s="5">
        <f>Table34101112131814[[#This Row],[  55-59]]-Table341011[[#This Row],[  55-59]]</f>
        <v>1164</v>
      </c>
      <c r="N17" s="5">
        <f>Table34101112131814[[#This Row],[  60-64]]-Table341011[[#This Row],[  60-64]]</f>
        <v>617</v>
      </c>
      <c r="O17" s="5">
        <f>Table34101112131814[[#This Row],[  65-69]]-Table341011[[#This Row],[  65-69]]</f>
        <v>556</v>
      </c>
      <c r="P17" s="5">
        <f>Table34101112131814[[#This Row],[  70-74]]-Table341011[[#This Row],[  70-74]]</f>
        <v>427</v>
      </c>
      <c r="Q17" s="5">
        <f>Table34101112131814[[#This Row],[  75-79]]-Table341011[[#This Row],[  75-79]]</f>
        <v>-36</v>
      </c>
      <c r="R17" s="5">
        <f>Table34101112131814[[#This Row],[  80-84]]-Table341011[[#This Row],[  80-84]]</f>
        <v>-28</v>
      </c>
      <c r="S17" s="5">
        <f>Table34101112131814[[#This Row],[  85-89]]-Table341011[[#This Row],[  85-89]]</f>
        <v>81</v>
      </c>
      <c r="T17" s="5">
        <f>Table34101112131814[[#This Row],[  90+]]-Table341011[[#This Row],[  90+]]</f>
        <v>28</v>
      </c>
    </row>
    <row r="18" spans="1:20" x14ac:dyDescent="0.2">
      <c r="A18" s="9" t="s">
        <v>6</v>
      </c>
      <c r="B18" s="6" t="s">
        <v>0</v>
      </c>
      <c r="C18" s="5">
        <f>Table34101112131814[[#This Row],[Total]]-Table341011[[#This Row],[Total]]</f>
        <v>12878</v>
      </c>
      <c r="D18" s="5">
        <f>Table34101112131814[[#This Row],[  5-11]]-Table341011[[#This Row],[  5-11]]</f>
        <v>6997</v>
      </c>
      <c r="E18" s="5">
        <f>Table34101112131814[[#This Row],[  12-17]]-Table341011[[#This Row],[  12-17]]</f>
        <v>1858</v>
      </c>
      <c r="F18" s="5">
        <f>Table34101112131814[[#This Row],[  18-24]]-Table341011[[#This Row],[  18-24]]</f>
        <v>624</v>
      </c>
      <c r="G18" s="5">
        <f>Table34101112131814[[#This Row],[  25-29 ]]-Table341011[[#This Row],[  25-29 ]]</f>
        <v>402</v>
      </c>
      <c r="H18" s="5">
        <f>Table34101112131814[[#This Row],[  30-34]]-Table341011[[#This Row],[  30-34]]</f>
        <v>163</v>
      </c>
      <c r="I18" s="5">
        <f>Table34101112131814[[#This Row],[  35-39]]-Table341011[[#This Row],[  35-39]]</f>
        <v>242</v>
      </c>
      <c r="J18" s="5">
        <f>Table34101112131814[[#This Row],[  40-44]]-Table341011[[#This Row],[  40-44]]</f>
        <v>256</v>
      </c>
      <c r="K18" s="5">
        <f>Table34101112131814[[#This Row],[  45-49 ]]-Table341011[[#This Row],[  45-49 ]]</f>
        <v>580</v>
      </c>
      <c r="L18" s="5">
        <f>Table34101112131814[[#This Row],[  50-54]]-Table341011[[#This Row],[  50-54]]</f>
        <v>418</v>
      </c>
      <c r="M18" s="5">
        <f>Table34101112131814[[#This Row],[  55-59]]-Table341011[[#This Row],[  55-59]]</f>
        <v>578</v>
      </c>
      <c r="N18" s="5">
        <f>Table34101112131814[[#This Row],[  60-64]]-Table341011[[#This Row],[  60-64]]</f>
        <v>285</v>
      </c>
      <c r="O18" s="5">
        <f>Table34101112131814[[#This Row],[  65-69]]-Table341011[[#This Row],[  65-69]]</f>
        <v>236</v>
      </c>
      <c r="P18" s="5">
        <f>Table34101112131814[[#This Row],[  70-74]]-Table341011[[#This Row],[  70-74]]</f>
        <v>239</v>
      </c>
      <c r="Q18" s="5">
        <f>Table34101112131814[[#This Row],[  75-79]]-Table341011[[#This Row],[  75-79]]</f>
        <v>-39</v>
      </c>
      <c r="R18" s="5">
        <f>Table34101112131814[[#This Row],[  80-84]]-Table341011[[#This Row],[  80-84]]</f>
        <v>-1</v>
      </c>
      <c r="S18" s="5">
        <f>Table34101112131814[[#This Row],[  85-89]]-Table341011[[#This Row],[  85-89]]</f>
        <v>27</v>
      </c>
      <c r="T18" s="5">
        <f>Table34101112131814[[#This Row],[  90+]]-Table341011[[#This Row],[  90+]]</f>
        <v>13</v>
      </c>
    </row>
    <row r="19" spans="1:20" x14ac:dyDescent="0.2">
      <c r="A19" s="9" t="s">
        <v>6</v>
      </c>
      <c r="B19" s="6" t="s">
        <v>23</v>
      </c>
      <c r="C19" s="5">
        <f>Table34101112131814[[#This Row],[Total]]-Table341011[[#This Row],[Total]]</f>
        <v>14978</v>
      </c>
      <c r="D19" s="5">
        <f>Table34101112131814[[#This Row],[  5-11]]-Table341011[[#This Row],[  5-11]]</f>
        <v>6860</v>
      </c>
      <c r="E19" s="5">
        <f>Table34101112131814[[#This Row],[  12-17]]-Table341011[[#This Row],[  12-17]]</f>
        <v>1587</v>
      </c>
      <c r="F19" s="5">
        <f>Table34101112131814[[#This Row],[  18-24]]-Table341011[[#This Row],[  18-24]]</f>
        <v>1035</v>
      </c>
      <c r="G19" s="5">
        <f>Table34101112131814[[#This Row],[  25-29 ]]-Table341011[[#This Row],[  25-29 ]]</f>
        <v>965</v>
      </c>
      <c r="H19" s="5">
        <f>Table34101112131814[[#This Row],[  30-34]]-Table341011[[#This Row],[  30-34]]</f>
        <v>811</v>
      </c>
      <c r="I19" s="5">
        <f>Table34101112131814[[#This Row],[  35-39]]-Table341011[[#This Row],[  35-39]]</f>
        <v>499</v>
      </c>
      <c r="J19" s="5">
        <f>Table34101112131814[[#This Row],[  40-44]]-Table341011[[#This Row],[  40-44]]</f>
        <v>621</v>
      </c>
      <c r="K19" s="5">
        <f>Table34101112131814[[#This Row],[  45-49 ]]-Table341011[[#This Row],[  45-49 ]]</f>
        <v>682</v>
      </c>
      <c r="L19" s="5">
        <f>Table34101112131814[[#This Row],[  50-54]]-Table341011[[#This Row],[  50-54]]</f>
        <v>447</v>
      </c>
      <c r="M19" s="5">
        <f>Table34101112131814[[#This Row],[  55-59]]-Table341011[[#This Row],[  55-59]]</f>
        <v>586</v>
      </c>
      <c r="N19" s="5">
        <f>Table34101112131814[[#This Row],[  60-64]]-Table341011[[#This Row],[  60-64]]</f>
        <v>332</v>
      </c>
      <c r="O19" s="5">
        <f>Table34101112131814[[#This Row],[  65-69]]-Table341011[[#This Row],[  65-69]]</f>
        <v>320</v>
      </c>
      <c r="P19" s="5">
        <f>Table34101112131814[[#This Row],[  70-74]]-Table341011[[#This Row],[  70-74]]</f>
        <v>188</v>
      </c>
      <c r="Q19" s="5">
        <f>Table34101112131814[[#This Row],[  75-79]]-Table341011[[#This Row],[  75-79]]</f>
        <v>3</v>
      </c>
      <c r="R19" s="5">
        <f>Table34101112131814[[#This Row],[  80-84]]-Table341011[[#This Row],[  80-84]]</f>
        <v>-27</v>
      </c>
      <c r="S19" s="5">
        <f>Table34101112131814[[#This Row],[  85-89]]-Table341011[[#This Row],[  85-89]]</f>
        <v>54</v>
      </c>
      <c r="T19" s="5">
        <f>Table34101112131814[[#This Row],[  90+]]-Table341011[[#This Row],[  90+]]</f>
        <v>15</v>
      </c>
    </row>
    <row r="20" spans="1:20" x14ac:dyDescent="0.2">
      <c r="A20" s="9" t="s">
        <v>7</v>
      </c>
      <c r="B20" s="6" t="s">
        <v>22</v>
      </c>
      <c r="C20" s="5">
        <f>Table34101112131814[[#This Row],[Total]]-Table341011[[#This Row],[Total]]</f>
        <v>19543</v>
      </c>
      <c r="D20" s="5">
        <f>Table34101112131814[[#This Row],[  5-11]]-Table341011[[#This Row],[  5-11]]</f>
        <v>9367</v>
      </c>
      <c r="E20" s="5">
        <f>Table34101112131814[[#This Row],[  12-17]]-Table341011[[#This Row],[  12-17]]</f>
        <v>1812</v>
      </c>
      <c r="F20" s="5">
        <f>Table34101112131814[[#This Row],[  18-24]]-Table341011[[#This Row],[  18-24]]</f>
        <v>1266</v>
      </c>
      <c r="G20" s="5">
        <f>Table34101112131814[[#This Row],[  25-29 ]]-Table341011[[#This Row],[  25-29 ]]</f>
        <v>1430</v>
      </c>
      <c r="H20" s="5">
        <f>Table34101112131814[[#This Row],[  30-34]]-Table341011[[#This Row],[  30-34]]</f>
        <v>1043</v>
      </c>
      <c r="I20" s="5">
        <f>Table34101112131814[[#This Row],[  35-39]]-Table341011[[#This Row],[  35-39]]</f>
        <v>822</v>
      </c>
      <c r="J20" s="5">
        <f>Table34101112131814[[#This Row],[  40-44]]-Table341011[[#This Row],[  40-44]]</f>
        <v>643</v>
      </c>
      <c r="K20" s="5">
        <f>Table34101112131814[[#This Row],[  45-49 ]]-Table341011[[#This Row],[  45-49 ]]</f>
        <v>840</v>
      </c>
      <c r="L20" s="5">
        <f>Table34101112131814[[#This Row],[  50-54]]-Table341011[[#This Row],[  50-54]]</f>
        <v>691</v>
      </c>
      <c r="M20" s="5">
        <f>Table34101112131814[[#This Row],[  55-59]]-Table341011[[#This Row],[  55-59]]</f>
        <v>621</v>
      </c>
      <c r="N20" s="5">
        <f>Table34101112131814[[#This Row],[  60-64]]-Table341011[[#This Row],[  60-64]]</f>
        <v>406</v>
      </c>
      <c r="O20" s="5">
        <f>Table34101112131814[[#This Row],[  65-69]]-Table341011[[#This Row],[  65-69]]</f>
        <v>186</v>
      </c>
      <c r="P20" s="5">
        <f>Table34101112131814[[#This Row],[  70-74]]-Table341011[[#This Row],[  70-74]]</f>
        <v>326</v>
      </c>
      <c r="Q20" s="5">
        <f>Table34101112131814[[#This Row],[  75-79]]-Table341011[[#This Row],[  75-79]]</f>
        <v>-50</v>
      </c>
      <c r="R20" s="5">
        <f>Table34101112131814[[#This Row],[  80-84]]-Table341011[[#This Row],[  80-84]]</f>
        <v>60</v>
      </c>
      <c r="S20" s="5">
        <f>Table34101112131814[[#This Row],[  85-89]]-Table341011[[#This Row],[  85-89]]</f>
        <v>42</v>
      </c>
      <c r="T20" s="5">
        <f>Table34101112131814[[#This Row],[  90+]]-Table341011[[#This Row],[  90+]]</f>
        <v>38</v>
      </c>
    </row>
    <row r="21" spans="1:20" x14ac:dyDescent="0.2">
      <c r="A21" s="9" t="s">
        <v>7</v>
      </c>
      <c r="B21" s="6" t="s">
        <v>0</v>
      </c>
      <c r="C21" s="5">
        <f>Table34101112131814[[#This Row],[Total]]-Table341011[[#This Row],[Total]]</f>
        <v>9670</v>
      </c>
      <c r="D21" s="5">
        <f>Table34101112131814[[#This Row],[  5-11]]-Table341011[[#This Row],[  5-11]]</f>
        <v>4811</v>
      </c>
      <c r="E21" s="5">
        <f>Table34101112131814[[#This Row],[  12-17]]-Table341011[[#This Row],[  12-17]]</f>
        <v>966</v>
      </c>
      <c r="F21" s="5">
        <f>Table34101112131814[[#This Row],[  18-24]]-Table341011[[#This Row],[  18-24]]</f>
        <v>643</v>
      </c>
      <c r="G21" s="5">
        <f>Table34101112131814[[#This Row],[  25-29 ]]-Table341011[[#This Row],[  25-29 ]]</f>
        <v>663</v>
      </c>
      <c r="H21" s="5">
        <f>Table34101112131814[[#This Row],[  30-34]]-Table341011[[#This Row],[  30-34]]</f>
        <v>477</v>
      </c>
      <c r="I21" s="5">
        <f>Table34101112131814[[#This Row],[  35-39]]-Table341011[[#This Row],[  35-39]]</f>
        <v>387</v>
      </c>
      <c r="J21" s="5">
        <f>Table34101112131814[[#This Row],[  40-44]]-Table341011[[#This Row],[  40-44]]</f>
        <v>287</v>
      </c>
      <c r="K21" s="5">
        <f>Table34101112131814[[#This Row],[  45-49 ]]-Table341011[[#This Row],[  45-49 ]]</f>
        <v>375</v>
      </c>
      <c r="L21" s="5">
        <f>Table34101112131814[[#This Row],[  50-54]]-Table341011[[#This Row],[  50-54]]</f>
        <v>348</v>
      </c>
      <c r="M21" s="5">
        <f>Table34101112131814[[#This Row],[  55-59]]-Table341011[[#This Row],[  55-59]]</f>
        <v>279</v>
      </c>
      <c r="N21" s="5">
        <f>Table34101112131814[[#This Row],[  60-64]]-Table341011[[#This Row],[  60-64]]</f>
        <v>192</v>
      </c>
      <c r="O21" s="5">
        <f>Table34101112131814[[#This Row],[  65-69]]-Table341011[[#This Row],[  65-69]]</f>
        <v>124</v>
      </c>
      <c r="P21" s="5">
        <f>Table34101112131814[[#This Row],[  70-74]]-Table341011[[#This Row],[  70-74]]</f>
        <v>147</v>
      </c>
      <c r="Q21" s="5">
        <f>Table34101112131814[[#This Row],[  75-79]]-Table341011[[#This Row],[  75-79]]</f>
        <v>-84</v>
      </c>
      <c r="R21" s="5">
        <f>Table34101112131814[[#This Row],[  80-84]]-Table341011[[#This Row],[  80-84]]</f>
        <v>31</v>
      </c>
      <c r="S21" s="5">
        <f>Table34101112131814[[#This Row],[  85-89]]-Table341011[[#This Row],[  85-89]]</f>
        <v>25</v>
      </c>
      <c r="T21" s="5">
        <f>Table34101112131814[[#This Row],[  90+]]-Table341011[[#This Row],[  90+]]</f>
        <v>-1</v>
      </c>
    </row>
    <row r="22" spans="1:20" x14ac:dyDescent="0.2">
      <c r="A22" s="9" t="s">
        <v>7</v>
      </c>
      <c r="B22" s="6" t="s">
        <v>23</v>
      </c>
      <c r="C22" s="5">
        <f>Table34101112131814[[#This Row],[Total]]-Table341011[[#This Row],[Total]]</f>
        <v>9873</v>
      </c>
      <c r="D22" s="5">
        <f>Table34101112131814[[#This Row],[  5-11]]-Table341011[[#This Row],[  5-11]]</f>
        <v>4556</v>
      </c>
      <c r="E22" s="5">
        <f>Table34101112131814[[#This Row],[  12-17]]-Table341011[[#This Row],[  12-17]]</f>
        <v>846</v>
      </c>
      <c r="F22" s="5">
        <f>Table34101112131814[[#This Row],[  18-24]]-Table341011[[#This Row],[  18-24]]</f>
        <v>623</v>
      </c>
      <c r="G22" s="5">
        <f>Table34101112131814[[#This Row],[  25-29 ]]-Table341011[[#This Row],[  25-29 ]]</f>
        <v>767</v>
      </c>
      <c r="H22" s="5">
        <f>Table34101112131814[[#This Row],[  30-34]]-Table341011[[#This Row],[  30-34]]</f>
        <v>566</v>
      </c>
      <c r="I22" s="5">
        <f>Table34101112131814[[#This Row],[  35-39]]-Table341011[[#This Row],[  35-39]]</f>
        <v>435</v>
      </c>
      <c r="J22" s="5">
        <f>Table34101112131814[[#This Row],[  40-44]]-Table341011[[#This Row],[  40-44]]</f>
        <v>356</v>
      </c>
      <c r="K22" s="5">
        <f>Table34101112131814[[#This Row],[  45-49 ]]-Table341011[[#This Row],[  45-49 ]]</f>
        <v>465</v>
      </c>
      <c r="L22" s="5">
        <f>Table34101112131814[[#This Row],[  50-54]]-Table341011[[#This Row],[  50-54]]</f>
        <v>343</v>
      </c>
      <c r="M22" s="5">
        <f>Table34101112131814[[#This Row],[  55-59]]-Table341011[[#This Row],[  55-59]]</f>
        <v>342</v>
      </c>
      <c r="N22" s="5">
        <f>Table34101112131814[[#This Row],[  60-64]]-Table341011[[#This Row],[  60-64]]</f>
        <v>214</v>
      </c>
      <c r="O22" s="5">
        <f>Table34101112131814[[#This Row],[  65-69]]-Table341011[[#This Row],[  65-69]]</f>
        <v>62</v>
      </c>
      <c r="P22" s="5">
        <f>Table34101112131814[[#This Row],[  70-74]]-Table341011[[#This Row],[  70-74]]</f>
        <v>179</v>
      </c>
      <c r="Q22" s="5">
        <f>Table34101112131814[[#This Row],[  75-79]]-Table341011[[#This Row],[  75-79]]</f>
        <v>34</v>
      </c>
      <c r="R22" s="5">
        <f>Table34101112131814[[#This Row],[  80-84]]-Table341011[[#This Row],[  80-84]]</f>
        <v>29</v>
      </c>
      <c r="S22" s="5">
        <f>Table34101112131814[[#This Row],[  85-89]]-Table341011[[#This Row],[  85-89]]</f>
        <v>17</v>
      </c>
      <c r="T22" s="5">
        <f>Table34101112131814[[#This Row],[  90+]]-Table341011[[#This Row],[  90+]]</f>
        <v>39</v>
      </c>
    </row>
    <row r="23" spans="1:20" x14ac:dyDescent="0.2">
      <c r="A23" s="9" t="s">
        <v>8</v>
      </c>
      <c r="B23" s="6" t="s">
        <v>22</v>
      </c>
      <c r="C23" s="5">
        <f>Table34101112131814[[#This Row],[Total]]-Table341011[[#This Row],[Total]]</f>
        <v>23136</v>
      </c>
      <c r="D23" s="5">
        <f>Table34101112131814[[#This Row],[  5-11]]-Table341011[[#This Row],[  5-11]]</f>
        <v>9807</v>
      </c>
      <c r="E23" s="5">
        <f>Table34101112131814[[#This Row],[  12-17]]-Table341011[[#This Row],[  12-17]]</f>
        <v>2636</v>
      </c>
      <c r="F23" s="5">
        <f>Table34101112131814[[#This Row],[  18-24]]-Table341011[[#This Row],[  18-24]]</f>
        <v>1735</v>
      </c>
      <c r="G23" s="5">
        <f>Table34101112131814[[#This Row],[  25-29 ]]-Table341011[[#This Row],[  25-29 ]]</f>
        <v>1535</v>
      </c>
      <c r="H23" s="5">
        <f>Table34101112131814[[#This Row],[  30-34]]-Table341011[[#This Row],[  30-34]]</f>
        <v>1559</v>
      </c>
      <c r="I23" s="5">
        <f>Table34101112131814[[#This Row],[  35-39]]-Table341011[[#This Row],[  35-39]]</f>
        <v>947</v>
      </c>
      <c r="J23" s="5">
        <f>Table34101112131814[[#This Row],[  40-44]]-Table341011[[#This Row],[  40-44]]</f>
        <v>870</v>
      </c>
      <c r="K23" s="5">
        <f>Table34101112131814[[#This Row],[  45-49 ]]-Table341011[[#This Row],[  45-49 ]]</f>
        <v>1100</v>
      </c>
      <c r="L23" s="5">
        <f>Table34101112131814[[#This Row],[  50-54]]-Table341011[[#This Row],[  50-54]]</f>
        <v>761</v>
      </c>
      <c r="M23" s="5">
        <f>Table34101112131814[[#This Row],[  55-59]]-Table341011[[#This Row],[  55-59]]</f>
        <v>862</v>
      </c>
      <c r="N23" s="5">
        <f>Table34101112131814[[#This Row],[  60-64]]-Table341011[[#This Row],[  60-64]]</f>
        <v>533</v>
      </c>
      <c r="O23" s="5">
        <f>Table34101112131814[[#This Row],[  65-69]]-Table341011[[#This Row],[  65-69]]</f>
        <v>284</v>
      </c>
      <c r="P23" s="5">
        <f>Table34101112131814[[#This Row],[  70-74]]-Table341011[[#This Row],[  70-74]]</f>
        <v>399</v>
      </c>
      <c r="Q23" s="5">
        <f>Table34101112131814[[#This Row],[  75-79]]-Table341011[[#This Row],[  75-79]]</f>
        <v>-9</v>
      </c>
      <c r="R23" s="5">
        <f>Table34101112131814[[#This Row],[  80-84]]-Table341011[[#This Row],[  80-84]]</f>
        <v>34</v>
      </c>
      <c r="S23" s="5">
        <f>Table34101112131814[[#This Row],[  85-89]]-Table341011[[#This Row],[  85-89]]</f>
        <v>45</v>
      </c>
      <c r="T23" s="5">
        <f>Table34101112131814[[#This Row],[  90+]]-Table341011[[#This Row],[  90+]]</f>
        <v>38</v>
      </c>
    </row>
    <row r="24" spans="1:20" x14ac:dyDescent="0.2">
      <c r="A24" s="9" t="s">
        <v>8</v>
      </c>
      <c r="B24" s="6" t="s">
        <v>0</v>
      </c>
      <c r="C24" s="5">
        <f>Table34101112131814[[#This Row],[Total]]-Table341011[[#This Row],[Total]]</f>
        <v>11714</v>
      </c>
      <c r="D24" s="5">
        <f>Table34101112131814[[#This Row],[  5-11]]-Table341011[[#This Row],[  5-11]]</f>
        <v>5100</v>
      </c>
      <c r="E24" s="5">
        <f>Table34101112131814[[#This Row],[  12-17]]-Table341011[[#This Row],[  12-17]]</f>
        <v>1415</v>
      </c>
      <c r="F24" s="5">
        <f>Table34101112131814[[#This Row],[  18-24]]-Table341011[[#This Row],[  18-24]]</f>
        <v>889</v>
      </c>
      <c r="G24" s="5">
        <f>Table34101112131814[[#This Row],[  25-29 ]]-Table341011[[#This Row],[  25-29 ]]</f>
        <v>769</v>
      </c>
      <c r="H24" s="5">
        <f>Table34101112131814[[#This Row],[  30-34]]-Table341011[[#This Row],[  30-34]]</f>
        <v>672</v>
      </c>
      <c r="I24" s="5">
        <f>Table34101112131814[[#This Row],[  35-39]]-Table341011[[#This Row],[  35-39]]</f>
        <v>493</v>
      </c>
      <c r="J24" s="5">
        <f>Table34101112131814[[#This Row],[  40-44]]-Table341011[[#This Row],[  40-44]]</f>
        <v>400</v>
      </c>
      <c r="K24" s="5">
        <f>Table34101112131814[[#This Row],[  45-49 ]]-Table341011[[#This Row],[  45-49 ]]</f>
        <v>571</v>
      </c>
      <c r="L24" s="5">
        <f>Table34101112131814[[#This Row],[  50-54]]-Table341011[[#This Row],[  50-54]]</f>
        <v>356</v>
      </c>
      <c r="M24" s="5">
        <f>Table34101112131814[[#This Row],[  55-59]]-Table341011[[#This Row],[  55-59]]</f>
        <v>479</v>
      </c>
      <c r="N24" s="5">
        <f>Table34101112131814[[#This Row],[  60-64]]-Table341011[[#This Row],[  60-64]]</f>
        <v>225</v>
      </c>
      <c r="O24" s="5">
        <f>Table34101112131814[[#This Row],[  65-69]]-Table341011[[#This Row],[  65-69]]</f>
        <v>101</v>
      </c>
      <c r="P24" s="5">
        <f>Table34101112131814[[#This Row],[  70-74]]-Table341011[[#This Row],[  70-74]]</f>
        <v>185</v>
      </c>
      <c r="Q24" s="5">
        <f>Table34101112131814[[#This Row],[  75-79]]-Table341011[[#This Row],[  75-79]]</f>
        <v>8</v>
      </c>
      <c r="R24" s="5">
        <f>Table34101112131814[[#This Row],[  80-84]]-Table341011[[#This Row],[  80-84]]</f>
        <v>12</v>
      </c>
      <c r="S24" s="5">
        <f>Table34101112131814[[#This Row],[  85-89]]-Table341011[[#This Row],[  85-89]]</f>
        <v>29</v>
      </c>
      <c r="T24" s="5">
        <f>Table34101112131814[[#This Row],[  90+]]-Table341011[[#This Row],[  90+]]</f>
        <v>10</v>
      </c>
    </row>
    <row r="25" spans="1:20" x14ac:dyDescent="0.2">
      <c r="A25" s="9" t="s">
        <v>8</v>
      </c>
      <c r="B25" s="6" t="s">
        <v>23</v>
      </c>
      <c r="C25" s="5">
        <f>Table34101112131814[[#This Row],[Total]]-Table341011[[#This Row],[Total]]</f>
        <v>11422</v>
      </c>
      <c r="D25" s="5">
        <f>Table34101112131814[[#This Row],[  5-11]]-Table341011[[#This Row],[  5-11]]</f>
        <v>4707</v>
      </c>
      <c r="E25" s="5">
        <f>Table34101112131814[[#This Row],[  12-17]]-Table341011[[#This Row],[  12-17]]</f>
        <v>1221</v>
      </c>
      <c r="F25" s="5">
        <f>Table34101112131814[[#This Row],[  18-24]]-Table341011[[#This Row],[  18-24]]</f>
        <v>846</v>
      </c>
      <c r="G25" s="5">
        <f>Table34101112131814[[#This Row],[  25-29 ]]-Table341011[[#This Row],[  25-29 ]]</f>
        <v>766</v>
      </c>
      <c r="H25" s="5">
        <f>Table34101112131814[[#This Row],[  30-34]]-Table341011[[#This Row],[  30-34]]</f>
        <v>887</v>
      </c>
      <c r="I25" s="5">
        <f>Table34101112131814[[#This Row],[  35-39]]-Table341011[[#This Row],[  35-39]]</f>
        <v>454</v>
      </c>
      <c r="J25" s="5">
        <f>Table34101112131814[[#This Row],[  40-44]]-Table341011[[#This Row],[  40-44]]</f>
        <v>470</v>
      </c>
      <c r="K25" s="5">
        <f>Table34101112131814[[#This Row],[  45-49 ]]-Table341011[[#This Row],[  45-49 ]]</f>
        <v>529</v>
      </c>
      <c r="L25" s="5">
        <f>Table34101112131814[[#This Row],[  50-54]]-Table341011[[#This Row],[  50-54]]</f>
        <v>405</v>
      </c>
      <c r="M25" s="5">
        <f>Table34101112131814[[#This Row],[  55-59]]-Table341011[[#This Row],[  55-59]]</f>
        <v>383</v>
      </c>
      <c r="N25" s="5">
        <f>Table34101112131814[[#This Row],[  60-64]]-Table341011[[#This Row],[  60-64]]</f>
        <v>308</v>
      </c>
      <c r="O25" s="5">
        <f>Table34101112131814[[#This Row],[  65-69]]-Table341011[[#This Row],[  65-69]]</f>
        <v>183</v>
      </c>
      <c r="P25" s="5">
        <f>Table34101112131814[[#This Row],[  70-74]]-Table341011[[#This Row],[  70-74]]</f>
        <v>214</v>
      </c>
      <c r="Q25" s="5">
        <f>Table34101112131814[[#This Row],[  75-79]]-Table341011[[#This Row],[  75-79]]</f>
        <v>-17</v>
      </c>
      <c r="R25" s="5">
        <f>Table34101112131814[[#This Row],[  80-84]]-Table341011[[#This Row],[  80-84]]</f>
        <v>22</v>
      </c>
      <c r="S25" s="5">
        <f>Table34101112131814[[#This Row],[  85-89]]-Table341011[[#This Row],[  85-89]]</f>
        <v>16</v>
      </c>
      <c r="T25" s="5">
        <f>Table34101112131814[[#This Row],[  90+]]-Table341011[[#This Row],[  90+]]</f>
        <v>28</v>
      </c>
    </row>
    <row r="26" spans="1:20" x14ac:dyDescent="0.2">
      <c r="A26" s="9" t="s">
        <v>9</v>
      </c>
      <c r="B26" s="6" t="s">
        <v>22</v>
      </c>
      <c r="C26" s="5">
        <f>Table34101112131814[[#This Row],[Total]]-Table341011[[#This Row],[Total]]</f>
        <v>28460</v>
      </c>
      <c r="D26" s="5">
        <f>Table34101112131814[[#This Row],[  5-11]]-Table341011[[#This Row],[  5-11]]</f>
        <v>13153</v>
      </c>
      <c r="E26" s="5">
        <f>Table34101112131814[[#This Row],[  12-17]]-Table341011[[#This Row],[  12-17]]</f>
        <v>2962</v>
      </c>
      <c r="F26" s="5">
        <f>Table34101112131814[[#This Row],[  18-24]]-Table341011[[#This Row],[  18-24]]</f>
        <v>1936</v>
      </c>
      <c r="G26" s="5">
        <f>Table34101112131814[[#This Row],[  25-29 ]]-Table341011[[#This Row],[  25-29 ]]</f>
        <v>1804</v>
      </c>
      <c r="H26" s="5">
        <f>Table34101112131814[[#This Row],[  30-34]]-Table341011[[#This Row],[  30-34]]</f>
        <v>1471</v>
      </c>
      <c r="I26" s="5">
        <f>Table34101112131814[[#This Row],[  35-39]]-Table341011[[#This Row],[  35-39]]</f>
        <v>1080</v>
      </c>
      <c r="J26" s="5">
        <f>Table34101112131814[[#This Row],[  40-44]]-Table341011[[#This Row],[  40-44]]</f>
        <v>951</v>
      </c>
      <c r="K26" s="5">
        <f>Table34101112131814[[#This Row],[  45-49 ]]-Table341011[[#This Row],[  45-49 ]]</f>
        <v>1294</v>
      </c>
      <c r="L26" s="5">
        <f>Table34101112131814[[#This Row],[  50-54]]-Table341011[[#This Row],[  50-54]]</f>
        <v>1009</v>
      </c>
      <c r="M26" s="5">
        <f>Table34101112131814[[#This Row],[  55-59]]-Table341011[[#This Row],[  55-59]]</f>
        <v>1237</v>
      </c>
      <c r="N26" s="5">
        <f>Table34101112131814[[#This Row],[  60-64]]-Table341011[[#This Row],[  60-64]]</f>
        <v>515</v>
      </c>
      <c r="O26" s="5">
        <f>Table34101112131814[[#This Row],[  65-69]]-Table341011[[#This Row],[  65-69]]</f>
        <v>357</v>
      </c>
      <c r="P26" s="5">
        <f>Table34101112131814[[#This Row],[  70-74]]-Table341011[[#This Row],[  70-74]]</f>
        <v>566</v>
      </c>
      <c r="Q26" s="5">
        <f>Table34101112131814[[#This Row],[  75-79]]-Table341011[[#This Row],[  75-79]]</f>
        <v>-45</v>
      </c>
      <c r="R26" s="5">
        <f>Table34101112131814[[#This Row],[  80-84]]-Table341011[[#This Row],[  80-84]]</f>
        <v>27</v>
      </c>
      <c r="S26" s="5">
        <f>Table34101112131814[[#This Row],[  85-89]]-Table341011[[#This Row],[  85-89]]</f>
        <v>84</v>
      </c>
      <c r="T26" s="5">
        <f>Table34101112131814[[#This Row],[  90+]]-Table341011[[#This Row],[  90+]]</f>
        <v>59</v>
      </c>
    </row>
    <row r="27" spans="1:20" x14ac:dyDescent="0.2">
      <c r="A27" s="9" t="s">
        <v>9</v>
      </c>
      <c r="B27" s="6" t="s">
        <v>0</v>
      </c>
      <c r="C27" s="5">
        <f>Table34101112131814[[#This Row],[Total]]-Table341011[[#This Row],[Total]]</f>
        <v>14275</v>
      </c>
      <c r="D27" s="5">
        <f>Table34101112131814[[#This Row],[  5-11]]-Table341011[[#This Row],[  5-11]]</f>
        <v>6736</v>
      </c>
      <c r="E27" s="5">
        <f>Table34101112131814[[#This Row],[  12-17]]-Table341011[[#This Row],[  12-17]]</f>
        <v>1672</v>
      </c>
      <c r="F27" s="5">
        <f>Table34101112131814[[#This Row],[  18-24]]-Table341011[[#This Row],[  18-24]]</f>
        <v>970</v>
      </c>
      <c r="G27" s="5">
        <f>Table34101112131814[[#This Row],[  25-29 ]]-Table341011[[#This Row],[  25-29 ]]</f>
        <v>881</v>
      </c>
      <c r="H27" s="5">
        <f>Table34101112131814[[#This Row],[  30-34]]-Table341011[[#This Row],[  30-34]]</f>
        <v>682</v>
      </c>
      <c r="I27" s="5">
        <f>Table34101112131814[[#This Row],[  35-39]]-Table341011[[#This Row],[  35-39]]</f>
        <v>487</v>
      </c>
      <c r="J27" s="5">
        <f>Table34101112131814[[#This Row],[  40-44]]-Table341011[[#This Row],[  40-44]]</f>
        <v>463</v>
      </c>
      <c r="K27" s="5">
        <f>Table34101112131814[[#This Row],[  45-49 ]]-Table341011[[#This Row],[  45-49 ]]</f>
        <v>650</v>
      </c>
      <c r="L27" s="5">
        <f>Table34101112131814[[#This Row],[  50-54]]-Table341011[[#This Row],[  50-54]]</f>
        <v>452</v>
      </c>
      <c r="M27" s="5">
        <f>Table34101112131814[[#This Row],[  55-59]]-Table341011[[#This Row],[  55-59]]</f>
        <v>581</v>
      </c>
      <c r="N27" s="5">
        <f>Table34101112131814[[#This Row],[  60-64]]-Table341011[[#This Row],[  60-64]]</f>
        <v>277</v>
      </c>
      <c r="O27" s="5">
        <f>Table34101112131814[[#This Row],[  65-69]]-Table341011[[#This Row],[  65-69]]</f>
        <v>155</v>
      </c>
      <c r="P27" s="5">
        <f>Table34101112131814[[#This Row],[  70-74]]-Table341011[[#This Row],[  70-74]]</f>
        <v>279</v>
      </c>
      <c r="Q27" s="5">
        <f>Table34101112131814[[#This Row],[  75-79]]-Table341011[[#This Row],[  75-79]]</f>
        <v>-32</v>
      </c>
      <c r="R27" s="5">
        <f>Table34101112131814[[#This Row],[  80-84]]-Table341011[[#This Row],[  80-84]]</f>
        <v>-7</v>
      </c>
      <c r="S27" s="5">
        <f>Table34101112131814[[#This Row],[  85-89]]-Table341011[[#This Row],[  85-89]]</f>
        <v>11</v>
      </c>
      <c r="T27" s="5">
        <f>Table34101112131814[[#This Row],[  90+]]-Table341011[[#This Row],[  90+]]</f>
        <v>18</v>
      </c>
    </row>
    <row r="28" spans="1:20" x14ac:dyDescent="0.2">
      <c r="A28" s="9" t="s">
        <v>9</v>
      </c>
      <c r="B28" s="6" t="s">
        <v>23</v>
      </c>
      <c r="C28" s="5">
        <f>Table34101112131814[[#This Row],[Total]]-Table341011[[#This Row],[Total]]</f>
        <v>14185</v>
      </c>
      <c r="D28" s="5">
        <f>Table34101112131814[[#This Row],[  5-11]]-Table341011[[#This Row],[  5-11]]</f>
        <v>6417</v>
      </c>
      <c r="E28" s="5">
        <f>Table34101112131814[[#This Row],[  12-17]]-Table341011[[#This Row],[  12-17]]</f>
        <v>1290</v>
      </c>
      <c r="F28" s="5">
        <f>Table34101112131814[[#This Row],[  18-24]]-Table341011[[#This Row],[  18-24]]</f>
        <v>966</v>
      </c>
      <c r="G28" s="5">
        <f>Table34101112131814[[#This Row],[  25-29 ]]-Table341011[[#This Row],[  25-29 ]]</f>
        <v>923</v>
      </c>
      <c r="H28" s="5">
        <f>Table34101112131814[[#This Row],[  30-34]]-Table341011[[#This Row],[  30-34]]</f>
        <v>789</v>
      </c>
      <c r="I28" s="5">
        <f>Table34101112131814[[#This Row],[  35-39]]-Table341011[[#This Row],[  35-39]]</f>
        <v>593</v>
      </c>
      <c r="J28" s="5">
        <f>Table34101112131814[[#This Row],[  40-44]]-Table341011[[#This Row],[  40-44]]</f>
        <v>488</v>
      </c>
      <c r="K28" s="5">
        <f>Table34101112131814[[#This Row],[  45-49 ]]-Table341011[[#This Row],[  45-49 ]]</f>
        <v>644</v>
      </c>
      <c r="L28" s="5">
        <f>Table34101112131814[[#This Row],[  50-54]]-Table341011[[#This Row],[  50-54]]</f>
        <v>557</v>
      </c>
      <c r="M28" s="5">
        <f>Table34101112131814[[#This Row],[  55-59]]-Table341011[[#This Row],[  55-59]]</f>
        <v>656</v>
      </c>
      <c r="N28" s="5">
        <f>Table34101112131814[[#This Row],[  60-64]]-Table341011[[#This Row],[  60-64]]</f>
        <v>238</v>
      </c>
      <c r="O28" s="5">
        <f>Table34101112131814[[#This Row],[  65-69]]-Table341011[[#This Row],[  65-69]]</f>
        <v>202</v>
      </c>
      <c r="P28" s="5">
        <f>Table34101112131814[[#This Row],[  70-74]]-Table341011[[#This Row],[  70-74]]</f>
        <v>287</v>
      </c>
      <c r="Q28" s="5">
        <f>Table34101112131814[[#This Row],[  75-79]]-Table341011[[#This Row],[  75-79]]</f>
        <v>-13</v>
      </c>
      <c r="R28" s="5">
        <f>Table34101112131814[[#This Row],[  80-84]]-Table341011[[#This Row],[  80-84]]</f>
        <v>34</v>
      </c>
      <c r="S28" s="5">
        <f>Table34101112131814[[#This Row],[  85-89]]-Table341011[[#This Row],[  85-89]]</f>
        <v>73</v>
      </c>
      <c r="T28" s="5">
        <f>Table34101112131814[[#This Row],[  90+]]-Table341011[[#This Row],[  90+]]</f>
        <v>41</v>
      </c>
    </row>
    <row r="29" spans="1:20" x14ac:dyDescent="0.2">
      <c r="A29" s="9" t="s">
        <v>10</v>
      </c>
      <c r="B29" s="6" t="s">
        <v>22</v>
      </c>
      <c r="C29" s="5">
        <f>Table34101112131814[[#This Row],[Total]]-Table341011[[#This Row],[Total]]</f>
        <v>24203</v>
      </c>
      <c r="D29" s="5">
        <f>Table34101112131814[[#This Row],[  5-11]]-Table341011[[#This Row],[  5-11]]</f>
        <v>9998</v>
      </c>
      <c r="E29" s="5">
        <f>Table34101112131814[[#This Row],[  12-17]]-Table341011[[#This Row],[  12-17]]</f>
        <v>2577</v>
      </c>
      <c r="F29" s="5">
        <f>Table34101112131814[[#This Row],[  18-24]]-Table341011[[#This Row],[  18-24]]</f>
        <v>1399</v>
      </c>
      <c r="G29" s="5">
        <f>Table34101112131814[[#This Row],[  25-29 ]]-Table341011[[#This Row],[  25-29 ]]</f>
        <v>1266</v>
      </c>
      <c r="H29" s="5">
        <f>Table34101112131814[[#This Row],[  30-34]]-Table341011[[#This Row],[  30-34]]</f>
        <v>1006</v>
      </c>
      <c r="I29" s="5">
        <f>Table34101112131814[[#This Row],[  35-39]]-Table341011[[#This Row],[  35-39]]</f>
        <v>919</v>
      </c>
      <c r="J29" s="5">
        <f>Table34101112131814[[#This Row],[  40-44]]-Table341011[[#This Row],[  40-44]]</f>
        <v>971</v>
      </c>
      <c r="K29" s="5">
        <f>Table34101112131814[[#This Row],[  45-49 ]]-Table341011[[#This Row],[  45-49 ]]</f>
        <v>1464</v>
      </c>
      <c r="L29" s="5">
        <f>Table34101112131814[[#This Row],[  50-54]]-Table341011[[#This Row],[  50-54]]</f>
        <v>1113</v>
      </c>
      <c r="M29" s="5">
        <f>Table34101112131814[[#This Row],[  55-59]]-Table341011[[#This Row],[  55-59]]</f>
        <v>1316</v>
      </c>
      <c r="N29" s="5">
        <f>Table34101112131814[[#This Row],[  60-64]]-Table341011[[#This Row],[  60-64]]</f>
        <v>899</v>
      </c>
      <c r="O29" s="5">
        <f>Table34101112131814[[#This Row],[  65-69]]-Table341011[[#This Row],[  65-69]]</f>
        <v>662</v>
      </c>
      <c r="P29" s="5">
        <f>Table34101112131814[[#This Row],[  70-74]]-Table341011[[#This Row],[  70-74]]</f>
        <v>711</v>
      </c>
      <c r="Q29" s="5">
        <f>Table34101112131814[[#This Row],[  75-79]]-Table341011[[#This Row],[  75-79]]</f>
        <v>-137</v>
      </c>
      <c r="R29" s="5">
        <f>Table34101112131814[[#This Row],[  80-84]]-Table341011[[#This Row],[  80-84]]</f>
        <v>-26</v>
      </c>
      <c r="S29" s="5">
        <f>Table34101112131814[[#This Row],[  85-89]]-Table341011[[#This Row],[  85-89]]</f>
        <v>13</v>
      </c>
      <c r="T29" s="5">
        <f>Table34101112131814[[#This Row],[  90+]]-Table341011[[#This Row],[  90+]]</f>
        <v>52</v>
      </c>
    </row>
    <row r="30" spans="1:20" x14ac:dyDescent="0.2">
      <c r="A30" s="9" t="s">
        <v>10</v>
      </c>
      <c r="B30" s="6" t="s">
        <v>0</v>
      </c>
      <c r="C30" s="5">
        <f>Table34101112131814[[#This Row],[Total]]-Table341011[[#This Row],[Total]]</f>
        <v>11541</v>
      </c>
      <c r="D30" s="5">
        <f>Table34101112131814[[#This Row],[  5-11]]-Table341011[[#This Row],[  5-11]]</f>
        <v>5170</v>
      </c>
      <c r="E30" s="5">
        <f>Table34101112131814[[#This Row],[  12-17]]-Table341011[[#This Row],[  12-17]]</f>
        <v>1338</v>
      </c>
      <c r="F30" s="5">
        <f>Table34101112131814[[#This Row],[  18-24]]-Table341011[[#This Row],[  18-24]]</f>
        <v>575</v>
      </c>
      <c r="G30" s="5">
        <f>Table34101112131814[[#This Row],[  25-29 ]]-Table341011[[#This Row],[  25-29 ]]</f>
        <v>511</v>
      </c>
      <c r="H30" s="5">
        <f>Table34101112131814[[#This Row],[  30-34]]-Table341011[[#This Row],[  30-34]]</f>
        <v>379</v>
      </c>
      <c r="I30" s="5">
        <f>Table34101112131814[[#This Row],[  35-39]]-Table341011[[#This Row],[  35-39]]</f>
        <v>298</v>
      </c>
      <c r="J30" s="5">
        <f>Table34101112131814[[#This Row],[  40-44]]-Table341011[[#This Row],[  40-44]]</f>
        <v>403</v>
      </c>
      <c r="K30" s="5">
        <f>Table34101112131814[[#This Row],[  45-49 ]]-Table341011[[#This Row],[  45-49 ]]</f>
        <v>703</v>
      </c>
      <c r="L30" s="5">
        <f>Table34101112131814[[#This Row],[  50-54]]-Table341011[[#This Row],[  50-54]]</f>
        <v>556</v>
      </c>
      <c r="M30" s="5">
        <f>Table34101112131814[[#This Row],[  55-59]]-Table341011[[#This Row],[  55-59]]</f>
        <v>570</v>
      </c>
      <c r="N30" s="5">
        <f>Table34101112131814[[#This Row],[  60-64]]-Table341011[[#This Row],[  60-64]]</f>
        <v>473</v>
      </c>
      <c r="O30" s="5">
        <f>Table34101112131814[[#This Row],[  65-69]]-Table341011[[#This Row],[  65-69]]</f>
        <v>326</v>
      </c>
      <c r="P30" s="5">
        <f>Table34101112131814[[#This Row],[  70-74]]-Table341011[[#This Row],[  70-74]]</f>
        <v>365</v>
      </c>
      <c r="Q30" s="5">
        <f>Table34101112131814[[#This Row],[  75-79]]-Table341011[[#This Row],[  75-79]]</f>
        <v>-96</v>
      </c>
      <c r="R30" s="5">
        <f>Table34101112131814[[#This Row],[  80-84]]-Table341011[[#This Row],[  80-84]]</f>
        <v>-29</v>
      </c>
      <c r="S30" s="5">
        <f>Table34101112131814[[#This Row],[  85-89]]-Table341011[[#This Row],[  85-89]]</f>
        <v>3</v>
      </c>
      <c r="T30" s="5">
        <f>Table34101112131814[[#This Row],[  90+]]-Table341011[[#This Row],[  90+]]</f>
        <v>-4</v>
      </c>
    </row>
    <row r="31" spans="1:20" x14ac:dyDescent="0.2">
      <c r="A31" s="9" t="s">
        <v>10</v>
      </c>
      <c r="B31" s="6" t="s">
        <v>23</v>
      </c>
      <c r="C31" s="5">
        <f>Table34101112131814[[#This Row],[Total]]-Table341011[[#This Row],[Total]]</f>
        <v>12662</v>
      </c>
      <c r="D31" s="5">
        <f>Table34101112131814[[#This Row],[  5-11]]-Table341011[[#This Row],[  5-11]]</f>
        <v>4828</v>
      </c>
      <c r="E31" s="5">
        <f>Table34101112131814[[#This Row],[  12-17]]-Table341011[[#This Row],[  12-17]]</f>
        <v>1239</v>
      </c>
      <c r="F31" s="5">
        <f>Table34101112131814[[#This Row],[  18-24]]-Table341011[[#This Row],[  18-24]]</f>
        <v>824</v>
      </c>
      <c r="G31" s="5">
        <f>Table34101112131814[[#This Row],[  25-29 ]]-Table341011[[#This Row],[  25-29 ]]</f>
        <v>755</v>
      </c>
      <c r="H31" s="5">
        <f>Table34101112131814[[#This Row],[  30-34]]-Table341011[[#This Row],[  30-34]]</f>
        <v>627</v>
      </c>
      <c r="I31" s="5">
        <f>Table34101112131814[[#This Row],[  35-39]]-Table341011[[#This Row],[  35-39]]</f>
        <v>621</v>
      </c>
      <c r="J31" s="5">
        <f>Table34101112131814[[#This Row],[  40-44]]-Table341011[[#This Row],[  40-44]]</f>
        <v>568</v>
      </c>
      <c r="K31" s="5">
        <f>Table34101112131814[[#This Row],[  45-49 ]]-Table341011[[#This Row],[  45-49 ]]</f>
        <v>761</v>
      </c>
      <c r="L31" s="5">
        <f>Table34101112131814[[#This Row],[  50-54]]-Table341011[[#This Row],[  50-54]]</f>
        <v>557</v>
      </c>
      <c r="M31" s="5">
        <f>Table34101112131814[[#This Row],[  55-59]]-Table341011[[#This Row],[  55-59]]</f>
        <v>746</v>
      </c>
      <c r="N31" s="5">
        <f>Table34101112131814[[#This Row],[  60-64]]-Table341011[[#This Row],[  60-64]]</f>
        <v>426</v>
      </c>
      <c r="O31" s="5">
        <f>Table34101112131814[[#This Row],[  65-69]]-Table341011[[#This Row],[  65-69]]</f>
        <v>336</v>
      </c>
      <c r="P31" s="5">
        <f>Table34101112131814[[#This Row],[  70-74]]-Table341011[[#This Row],[  70-74]]</f>
        <v>346</v>
      </c>
      <c r="Q31" s="5">
        <f>Table34101112131814[[#This Row],[  75-79]]-Table341011[[#This Row],[  75-79]]</f>
        <v>-41</v>
      </c>
      <c r="R31" s="5">
        <f>Table34101112131814[[#This Row],[  80-84]]-Table341011[[#This Row],[  80-84]]</f>
        <v>3</v>
      </c>
      <c r="S31" s="5">
        <f>Table34101112131814[[#This Row],[  85-89]]-Table341011[[#This Row],[  85-89]]</f>
        <v>10</v>
      </c>
      <c r="T31" s="5">
        <f>Table34101112131814[[#This Row],[  90+]]-Table341011[[#This Row],[  90+]]</f>
        <v>56</v>
      </c>
    </row>
    <row r="32" spans="1:20" x14ac:dyDescent="0.2">
      <c r="A32" s="9" t="s">
        <v>11</v>
      </c>
      <c r="B32" s="6" t="s">
        <v>22</v>
      </c>
      <c r="C32" s="5">
        <f>Table34101112131814[[#This Row],[Total]]-Table341011[[#This Row],[Total]]</f>
        <v>44843</v>
      </c>
      <c r="D32" s="5">
        <f>Table34101112131814[[#This Row],[  5-11]]-Table341011[[#This Row],[  5-11]]</f>
        <v>16908</v>
      </c>
      <c r="E32" s="5">
        <f>Table34101112131814[[#This Row],[  12-17]]-Table341011[[#This Row],[  12-17]]</f>
        <v>5003</v>
      </c>
      <c r="F32" s="5">
        <f>Table34101112131814[[#This Row],[  18-24]]-Table341011[[#This Row],[  18-24]]</f>
        <v>3133</v>
      </c>
      <c r="G32" s="5">
        <f>Table34101112131814[[#This Row],[  25-29 ]]-Table341011[[#This Row],[  25-29 ]]</f>
        <v>2718</v>
      </c>
      <c r="H32" s="5">
        <f>Table34101112131814[[#This Row],[  30-34]]-Table341011[[#This Row],[  30-34]]</f>
        <v>2779</v>
      </c>
      <c r="I32" s="5">
        <f>Table34101112131814[[#This Row],[  35-39]]-Table341011[[#This Row],[  35-39]]</f>
        <v>1813</v>
      </c>
      <c r="J32" s="5">
        <f>Table34101112131814[[#This Row],[  40-44]]-Table341011[[#This Row],[  40-44]]</f>
        <v>1794</v>
      </c>
      <c r="K32" s="5">
        <f>Table34101112131814[[#This Row],[  45-49 ]]-Table341011[[#This Row],[  45-49 ]]</f>
        <v>2095</v>
      </c>
      <c r="L32" s="5">
        <f>Table34101112131814[[#This Row],[  50-54]]-Table341011[[#This Row],[  50-54]]</f>
        <v>2089</v>
      </c>
      <c r="M32" s="5">
        <f>Table34101112131814[[#This Row],[  55-59]]-Table341011[[#This Row],[  55-59]]</f>
        <v>2281</v>
      </c>
      <c r="N32" s="5">
        <f>Table34101112131814[[#This Row],[  60-64]]-Table341011[[#This Row],[  60-64]]</f>
        <v>1569</v>
      </c>
      <c r="O32" s="5">
        <f>Table34101112131814[[#This Row],[  65-69]]-Table341011[[#This Row],[  65-69]]</f>
        <v>1307</v>
      </c>
      <c r="P32" s="5">
        <f>Table34101112131814[[#This Row],[  70-74]]-Table341011[[#This Row],[  70-74]]</f>
        <v>903</v>
      </c>
      <c r="Q32" s="5">
        <f>Table34101112131814[[#This Row],[  75-79]]-Table341011[[#This Row],[  75-79]]</f>
        <v>133</v>
      </c>
      <c r="R32" s="5">
        <f>Table34101112131814[[#This Row],[  80-84]]-Table341011[[#This Row],[  80-84]]</f>
        <v>133</v>
      </c>
      <c r="S32" s="5">
        <f>Table34101112131814[[#This Row],[  85-89]]-Table341011[[#This Row],[  85-89]]</f>
        <v>65</v>
      </c>
      <c r="T32" s="5">
        <f>Table34101112131814[[#This Row],[  90+]]-Table341011[[#This Row],[  90+]]</f>
        <v>120</v>
      </c>
    </row>
    <row r="33" spans="1:20" x14ac:dyDescent="0.2">
      <c r="A33" s="9" t="s">
        <v>11</v>
      </c>
      <c r="B33" s="6" t="s">
        <v>0</v>
      </c>
      <c r="C33" s="5">
        <f>Table34101112131814[[#This Row],[Total]]-Table341011[[#This Row],[Total]]</f>
        <v>22990</v>
      </c>
      <c r="D33" s="5">
        <f>Table34101112131814[[#This Row],[  5-11]]-Table341011[[#This Row],[  5-11]]</f>
        <v>8732</v>
      </c>
      <c r="E33" s="5">
        <f>Table34101112131814[[#This Row],[  12-17]]-Table341011[[#This Row],[  12-17]]</f>
        <v>2593</v>
      </c>
      <c r="F33" s="5">
        <f>Table34101112131814[[#This Row],[  18-24]]-Table341011[[#This Row],[  18-24]]</f>
        <v>1698</v>
      </c>
      <c r="G33" s="5">
        <f>Table34101112131814[[#This Row],[  25-29 ]]-Table341011[[#This Row],[  25-29 ]]</f>
        <v>1309</v>
      </c>
      <c r="H33" s="5">
        <f>Table34101112131814[[#This Row],[  30-34]]-Table341011[[#This Row],[  30-34]]</f>
        <v>1429</v>
      </c>
      <c r="I33" s="5">
        <f>Table34101112131814[[#This Row],[  35-39]]-Table341011[[#This Row],[  35-39]]</f>
        <v>895</v>
      </c>
      <c r="J33" s="5">
        <f>Table34101112131814[[#This Row],[  40-44]]-Table341011[[#This Row],[  40-44]]</f>
        <v>933</v>
      </c>
      <c r="K33" s="5">
        <f>Table34101112131814[[#This Row],[  45-49 ]]-Table341011[[#This Row],[  45-49 ]]</f>
        <v>1074</v>
      </c>
      <c r="L33" s="5">
        <f>Table34101112131814[[#This Row],[  50-54]]-Table341011[[#This Row],[  50-54]]</f>
        <v>1026</v>
      </c>
      <c r="M33" s="5">
        <f>Table34101112131814[[#This Row],[  55-59]]-Table341011[[#This Row],[  55-59]]</f>
        <v>1150</v>
      </c>
      <c r="N33" s="5">
        <f>Table34101112131814[[#This Row],[  60-64]]-Table341011[[#This Row],[  60-64]]</f>
        <v>793</v>
      </c>
      <c r="O33" s="5">
        <f>Table34101112131814[[#This Row],[  65-69]]-Table341011[[#This Row],[  65-69]]</f>
        <v>707</v>
      </c>
      <c r="P33" s="5">
        <f>Table34101112131814[[#This Row],[  70-74]]-Table341011[[#This Row],[  70-74]]</f>
        <v>475</v>
      </c>
      <c r="Q33" s="5">
        <f>Table34101112131814[[#This Row],[  75-79]]-Table341011[[#This Row],[  75-79]]</f>
        <v>36</v>
      </c>
      <c r="R33" s="5">
        <f>Table34101112131814[[#This Row],[  80-84]]-Table341011[[#This Row],[  80-84]]</f>
        <v>71</v>
      </c>
      <c r="S33" s="5">
        <f>Table34101112131814[[#This Row],[  85-89]]-Table341011[[#This Row],[  85-89]]</f>
        <v>32</v>
      </c>
      <c r="T33" s="5">
        <f>Table34101112131814[[#This Row],[  90+]]-Table341011[[#This Row],[  90+]]</f>
        <v>37</v>
      </c>
    </row>
    <row r="34" spans="1:20" x14ac:dyDescent="0.2">
      <c r="A34" s="9" t="s">
        <v>11</v>
      </c>
      <c r="B34" s="6" t="s">
        <v>23</v>
      </c>
      <c r="C34" s="5">
        <f>Table34101112131814[[#This Row],[Total]]-Table341011[[#This Row],[Total]]</f>
        <v>21853</v>
      </c>
      <c r="D34" s="5">
        <f>Table34101112131814[[#This Row],[  5-11]]-Table341011[[#This Row],[  5-11]]</f>
        <v>8176</v>
      </c>
      <c r="E34" s="5">
        <f>Table34101112131814[[#This Row],[  12-17]]-Table341011[[#This Row],[  12-17]]</f>
        <v>2410</v>
      </c>
      <c r="F34" s="5">
        <f>Table34101112131814[[#This Row],[  18-24]]-Table341011[[#This Row],[  18-24]]</f>
        <v>1435</v>
      </c>
      <c r="G34" s="5">
        <f>Table34101112131814[[#This Row],[  25-29 ]]-Table341011[[#This Row],[  25-29 ]]</f>
        <v>1409</v>
      </c>
      <c r="H34" s="5">
        <f>Table34101112131814[[#This Row],[  30-34]]-Table341011[[#This Row],[  30-34]]</f>
        <v>1350</v>
      </c>
      <c r="I34" s="5">
        <f>Table34101112131814[[#This Row],[  35-39]]-Table341011[[#This Row],[  35-39]]</f>
        <v>918</v>
      </c>
      <c r="J34" s="5">
        <f>Table34101112131814[[#This Row],[  40-44]]-Table341011[[#This Row],[  40-44]]</f>
        <v>861</v>
      </c>
      <c r="K34" s="5">
        <f>Table34101112131814[[#This Row],[  45-49 ]]-Table341011[[#This Row],[  45-49 ]]</f>
        <v>1021</v>
      </c>
      <c r="L34" s="5">
        <f>Table34101112131814[[#This Row],[  50-54]]-Table341011[[#This Row],[  50-54]]</f>
        <v>1063</v>
      </c>
      <c r="M34" s="5">
        <f>Table34101112131814[[#This Row],[  55-59]]-Table341011[[#This Row],[  55-59]]</f>
        <v>1131</v>
      </c>
      <c r="N34" s="5">
        <f>Table34101112131814[[#This Row],[  60-64]]-Table341011[[#This Row],[  60-64]]</f>
        <v>776</v>
      </c>
      <c r="O34" s="5">
        <f>Table34101112131814[[#This Row],[  65-69]]-Table341011[[#This Row],[  65-69]]</f>
        <v>600</v>
      </c>
      <c r="P34" s="5">
        <f>Table34101112131814[[#This Row],[  70-74]]-Table341011[[#This Row],[  70-74]]</f>
        <v>428</v>
      </c>
      <c r="Q34" s="5">
        <f>Table34101112131814[[#This Row],[  75-79]]-Table341011[[#This Row],[  75-79]]</f>
        <v>97</v>
      </c>
      <c r="R34" s="5">
        <f>Table34101112131814[[#This Row],[  80-84]]-Table341011[[#This Row],[  80-84]]</f>
        <v>62</v>
      </c>
      <c r="S34" s="5">
        <f>Table34101112131814[[#This Row],[  85-89]]-Table341011[[#This Row],[  85-89]]</f>
        <v>33</v>
      </c>
      <c r="T34" s="5">
        <f>Table34101112131814[[#This Row],[  90+]]-Table341011[[#This Row],[  90+]]</f>
        <v>83</v>
      </c>
    </row>
    <row r="35" spans="1:20" x14ac:dyDescent="0.2">
      <c r="A35" s="9" t="s">
        <v>12</v>
      </c>
      <c r="B35" s="6" t="s">
        <v>22</v>
      </c>
      <c r="C35" s="5">
        <f>Table34101112131814[[#This Row],[Total]]-Table341011[[#This Row],[Total]]</f>
        <v>21890</v>
      </c>
      <c r="D35" s="5">
        <f>Table34101112131814[[#This Row],[  5-11]]-Table341011[[#This Row],[  5-11]]</f>
        <v>208</v>
      </c>
      <c r="E35" s="5">
        <f>Table34101112131814[[#This Row],[  12-17]]-Table341011[[#This Row],[  12-17]]</f>
        <v>1017</v>
      </c>
      <c r="F35" s="5">
        <f>Table34101112131814[[#This Row],[  18-24]]-Table341011[[#This Row],[  18-24]]</f>
        <v>2521</v>
      </c>
      <c r="G35" s="5">
        <f>Table34101112131814[[#This Row],[  25-29 ]]-Table341011[[#This Row],[  25-29 ]]</f>
        <v>3438</v>
      </c>
      <c r="H35" s="5">
        <f>Table34101112131814[[#This Row],[  30-34]]-Table341011[[#This Row],[  30-34]]</f>
        <v>3630</v>
      </c>
      <c r="I35" s="5">
        <f>Table34101112131814[[#This Row],[  35-39]]-Table341011[[#This Row],[  35-39]]</f>
        <v>2512</v>
      </c>
      <c r="J35" s="5">
        <f>Table34101112131814[[#This Row],[  40-44]]-Table341011[[#This Row],[  40-44]]</f>
        <v>1976</v>
      </c>
      <c r="K35" s="5">
        <f>Table34101112131814[[#This Row],[  45-49 ]]-Table341011[[#This Row],[  45-49 ]]</f>
        <v>1477</v>
      </c>
      <c r="L35" s="5">
        <f>Table34101112131814[[#This Row],[  50-54]]-Table341011[[#This Row],[  50-54]]</f>
        <v>1711</v>
      </c>
      <c r="M35" s="5">
        <f>Table34101112131814[[#This Row],[  55-59]]-Table341011[[#This Row],[  55-59]]</f>
        <v>1463</v>
      </c>
      <c r="N35" s="5">
        <f>Table34101112131814[[#This Row],[  60-64]]-Table341011[[#This Row],[  60-64]]</f>
        <v>1115</v>
      </c>
      <c r="O35" s="5">
        <f>Table34101112131814[[#This Row],[  65-69]]-Table341011[[#This Row],[  65-69]]</f>
        <v>349</v>
      </c>
      <c r="P35" s="5">
        <f>Table34101112131814[[#This Row],[  70-74]]-Table341011[[#This Row],[  70-74]]</f>
        <v>283</v>
      </c>
      <c r="Q35" s="5">
        <f>Table34101112131814[[#This Row],[  75-79]]-Table341011[[#This Row],[  75-79]]</f>
        <v>110</v>
      </c>
      <c r="R35" s="5">
        <f>Table34101112131814[[#This Row],[  80-84]]-Table341011[[#This Row],[  80-84]]</f>
        <v>46</v>
      </c>
      <c r="S35" s="5">
        <f>Table34101112131814[[#This Row],[  85-89]]-Table341011[[#This Row],[  85-89]]</f>
        <v>20</v>
      </c>
      <c r="T35" s="5">
        <f>Table34101112131814[[#This Row],[  90+]]-Table341011[[#This Row],[  90+]]</f>
        <v>14</v>
      </c>
    </row>
    <row r="36" spans="1:20" x14ac:dyDescent="0.2">
      <c r="A36" s="9" t="s">
        <v>12</v>
      </c>
      <c r="B36" s="6" t="s">
        <v>0</v>
      </c>
      <c r="C36" s="5">
        <f>Table34101112131814[[#This Row],[Total]]-Table341011[[#This Row],[Total]]</f>
        <v>16151</v>
      </c>
      <c r="D36" s="5">
        <f>Table34101112131814[[#This Row],[  5-11]]-Table341011[[#This Row],[  5-11]]</f>
        <v>87</v>
      </c>
      <c r="E36" s="5">
        <f>Table34101112131814[[#This Row],[  12-17]]-Table341011[[#This Row],[  12-17]]</f>
        <v>547</v>
      </c>
      <c r="F36" s="5">
        <f>Table34101112131814[[#This Row],[  18-24]]-Table341011[[#This Row],[  18-24]]</f>
        <v>1849</v>
      </c>
      <c r="G36" s="5">
        <f>Table34101112131814[[#This Row],[  25-29 ]]-Table341011[[#This Row],[  25-29 ]]</f>
        <v>2700</v>
      </c>
      <c r="H36" s="5">
        <f>Table34101112131814[[#This Row],[  30-34]]-Table341011[[#This Row],[  30-34]]</f>
        <v>2674</v>
      </c>
      <c r="I36" s="5">
        <f>Table34101112131814[[#This Row],[  35-39]]-Table341011[[#This Row],[  35-39]]</f>
        <v>2090</v>
      </c>
      <c r="J36" s="5">
        <f>Table34101112131814[[#This Row],[  40-44]]-Table341011[[#This Row],[  40-44]]</f>
        <v>1640</v>
      </c>
      <c r="K36" s="5">
        <f>Table34101112131814[[#This Row],[  45-49 ]]-Table341011[[#This Row],[  45-49 ]]</f>
        <v>986</v>
      </c>
      <c r="L36" s="5">
        <f>Table34101112131814[[#This Row],[  50-54]]-Table341011[[#This Row],[  50-54]]</f>
        <v>1364</v>
      </c>
      <c r="M36" s="5">
        <f>Table34101112131814[[#This Row],[  55-59]]-Table341011[[#This Row],[  55-59]]</f>
        <v>974</v>
      </c>
      <c r="N36" s="5">
        <f>Table34101112131814[[#This Row],[  60-64]]-Table341011[[#This Row],[  60-64]]</f>
        <v>786</v>
      </c>
      <c r="O36" s="5">
        <f>Table34101112131814[[#This Row],[  65-69]]-Table341011[[#This Row],[  65-69]]</f>
        <v>200</v>
      </c>
      <c r="P36" s="5">
        <f>Table34101112131814[[#This Row],[  70-74]]-Table341011[[#This Row],[  70-74]]</f>
        <v>159</v>
      </c>
      <c r="Q36" s="5">
        <f>Table34101112131814[[#This Row],[  75-79]]-Table341011[[#This Row],[  75-79]]</f>
        <v>66</v>
      </c>
      <c r="R36" s="5">
        <f>Table34101112131814[[#This Row],[  80-84]]-Table341011[[#This Row],[  80-84]]</f>
        <v>29</v>
      </c>
      <c r="S36" s="5">
        <f>Table34101112131814[[#This Row],[  85-89]]-Table341011[[#This Row],[  85-89]]</f>
        <v>0</v>
      </c>
      <c r="T36" s="5">
        <f>Table34101112131814[[#This Row],[  90+]]-Table341011[[#This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Table34101112131814[[#This Row],[Total]]-Table341011[[#This Row],[Total]]</f>
        <v>5739</v>
      </c>
      <c r="D37" s="5">
        <f>Table34101112131814[[#This Row],[  5-11]]-Table341011[[#This Row],[  5-11]]</f>
        <v>121</v>
      </c>
      <c r="E37" s="5">
        <f>Table34101112131814[[#This Row],[  12-17]]-Table341011[[#This Row],[  12-17]]</f>
        <v>470</v>
      </c>
      <c r="F37" s="5">
        <f>Table34101112131814[[#This Row],[  18-24]]-Table341011[[#This Row],[  18-24]]</f>
        <v>672</v>
      </c>
      <c r="G37" s="5">
        <f>Table34101112131814[[#This Row],[  25-29 ]]-Table341011[[#This Row],[  25-29 ]]</f>
        <v>738</v>
      </c>
      <c r="H37" s="5">
        <f>Table34101112131814[[#This Row],[  30-34]]-Table341011[[#This Row],[  30-34]]</f>
        <v>956</v>
      </c>
      <c r="I37" s="5">
        <f>Table34101112131814[[#This Row],[  35-39]]-Table341011[[#This Row],[  35-39]]</f>
        <v>422</v>
      </c>
      <c r="J37" s="5">
        <f>Table34101112131814[[#This Row],[  40-44]]-Table341011[[#This Row],[  40-44]]</f>
        <v>336</v>
      </c>
      <c r="K37" s="5">
        <f>Table34101112131814[[#This Row],[  45-49 ]]-Table341011[[#This Row],[  45-49 ]]</f>
        <v>491</v>
      </c>
      <c r="L37" s="5">
        <f>Table34101112131814[[#This Row],[  50-54]]-Table341011[[#This Row],[  50-54]]</f>
        <v>347</v>
      </c>
      <c r="M37" s="5">
        <f>Table34101112131814[[#This Row],[  55-59]]-Table341011[[#This Row],[  55-59]]</f>
        <v>489</v>
      </c>
      <c r="N37" s="5">
        <f>Table34101112131814[[#This Row],[  60-64]]-Table341011[[#This Row],[  60-64]]</f>
        <v>329</v>
      </c>
      <c r="O37" s="5">
        <f>Table34101112131814[[#This Row],[  65-69]]-Table341011[[#This Row],[  65-69]]</f>
        <v>149</v>
      </c>
      <c r="P37" s="5">
        <f>Table34101112131814[[#This Row],[  70-74]]-Table341011[[#This Row],[  70-74]]</f>
        <v>124</v>
      </c>
      <c r="Q37" s="5">
        <f>Table34101112131814[[#This Row],[  75-79]]-Table341011[[#This Row],[  75-79]]</f>
        <v>44</v>
      </c>
      <c r="R37" s="5">
        <f>Table34101112131814[[#This Row],[  80-84]]-Table341011[[#This Row],[  80-84]]</f>
        <v>17</v>
      </c>
      <c r="S37" s="5">
        <f>Table34101112131814[[#This Row],[  85-89]]-Table341011[[#This Row],[  85-89]]</f>
        <v>20</v>
      </c>
      <c r="T37" s="5">
        <f>Table34101112131814[[#This Row],[  90+]]-Table341011[[#This Row],[  90+]]</f>
        <v>14</v>
      </c>
    </row>
    <row r="38" spans="1:20" x14ac:dyDescent="0.2">
      <c r="A38" s="9" t="s">
        <v>13</v>
      </c>
      <c r="B38" s="6" t="s">
        <v>22</v>
      </c>
      <c r="C38" s="5">
        <f>Table34101112131814[[#This Row],[Total]]-Table341011[[#This Row],[Total]]</f>
        <v>9393</v>
      </c>
      <c r="D38" s="5">
        <f>Table34101112131814[[#This Row],[  5-11]]-Table341011[[#This Row],[  5-11]]</f>
        <v>4049</v>
      </c>
      <c r="E38" s="5">
        <f>Table34101112131814[[#This Row],[  12-17]]-Table341011[[#This Row],[  12-17]]</f>
        <v>792</v>
      </c>
      <c r="F38" s="5">
        <f>Table34101112131814[[#This Row],[  18-24]]-Table341011[[#This Row],[  18-24]]</f>
        <v>668</v>
      </c>
      <c r="G38" s="5">
        <f>Table34101112131814[[#This Row],[  25-29 ]]-Table341011[[#This Row],[  25-29 ]]</f>
        <v>720</v>
      </c>
      <c r="H38" s="5">
        <f>Table34101112131814[[#This Row],[  30-34]]-Table341011[[#This Row],[  30-34]]</f>
        <v>504</v>
      </c>
      <c r="I38" s="5">
        <f>Table34101112131814[[#This Row],[  35-39]]-Table341011[[#This Row],[  35-39]]</f>
        <v>357</v>
      </c>
      <c r="J38" s="5">
        <f>Table34101112131814[[#This Row],[  40-44]]-Table341011[[#This Row],[  40-44]]</f>
        <v>425</v>
      </c>
      <c r="K38" s="5">
        <f>Table34101112131814[[#This Row],[  45-49 ]]-Table341011[[#This Row],[  45-49 ]]</f>
        <v>489</v>
      </c>
      <c r="L38" s="5">
        <f>Table34101112131814[[#This Row],[  50-54]]-Table341011[[#This Row],[  50-54]]</f>
        <v>318</v>
      </c>
      <c r="M38" s="5">
        <f>Table34101112131814[[#This Row],[  55-59]]-Table341011[[#This Row],[  55-59]]</f>
        <v>377</v>
      </c>
      <c r="N38" s="5">
        <f>Table34101112131814[[#This Row],[  60-64]]-Table341011[[#This Row],[  60-64]]</f>
        <v>248</v>
      </c>
      <c r="O38" s="5">
        <f>Table34101112131814[[#This Row],[  65-69]]-Table341011[[#This Row],[  65-69]]</f>
        <v>185</v>
      </c>
      <c r="P38" s="5">
        <f>Table34101112131814[[#This Row],[  70-74]]-Table341011[[#This Row],[  70-74]]</f>
        <v>209</v>
      </c>
      <c r="Q38" s="5">
        <f>Table34101112131814[[#This Row],[  75-79]]-Table341011[[#This Row],[  75-79]]</f>
        <v>-57</v>
      </c>
      <c r="R38" s="5">
        <f>Table34101112131814[[#This Row],[  80-84]]-Table341011[[#This Row],[  80-84]]</f>
        <v>55</v>
      </c>
      <c r="S38" s="5">
        <f>Table34101112131814[[#This Row],[  85-89]]-Table341011[[#This Row],[  85-89]]</f>
        <v>40</v>
      </c>
      <c r="T38" s="5">
        <f>Table34101112131814[[#This Row],[  90+]]-Table341011[[#This Row],[  90+]]</f>
        <v>14</v>
      </c>
    </row>
    <row r="39" spans="1:20" x14ac:dyDescent="0.2">
      <c r="A39" s="9" t="s">
        <v>13</v>
      </c>
      <c r="B39" s="6" t="s">
        <v>0</v>
      </c>
      <c r="C39" s="5">
        <f>Table34101112131814[[#This Row],[Total]]-Table341011[[#This Row],[Total]]</f>
        <v>4772</v>
      </c>
      <c r="D39" s="5">
        <f>Table34101112131814[[#This Row],[  5-11]]-Table341011[[#This Row],[  5-11]]</f>
        <v>2109</v>
      </c>
      <c r="E39" s="5">
        <f>Table34101112131814[[#This Row],[  12-17]]-Table341011[[#This Row],[  12-17]]</f>
        <v>397</v>
      </c>
      <c r="F39" s="5">
        <f>Table34101112131814[[#This Row],[  18-24]]-Table341011[[#This Row],[  18-24]]</f>
        <v>318</v>
      </c>
      <c r="G39" s="5">
        <f>Table34101112131814[[#This Row],[  25-29 ]]-Table341011[[#This Row],[  25-29 ]]</f>
        <v>383</v>
      </c>
      <c r="H39" s="5">
        <f>Table34101112131814[[#This Row],[  30-34]]-Table341011[[#This Row],[  30-34]]</f>
        <v>267</v>
      </c>
      <c r="I39" s="5">
        <f>Table34101112131814[[#This Row],[  35-39]]-Table341011[[#This Row],[  35-39]]</f>
        <v>202</v>
      </c>
      <c r="J39" s="5">
        <f>Table34101112131814[[#This Row],[  40-44]]-Table341011[[#This Row],[  40-44]]</f>
        <v>234</v>
      </c>
      <c r="K39" s="5">
        <f>Table34101112131814[[#This Row],[  45-49 ]]-Table341011[[#This Row],[  45-49 ]]</f>
        <v>228</v>
      </c>
      <c r="L39" s="5">
        <f>Table34101112131814[[#This Row],[  50-54]]-Table341011[[#This Row],[  50-54]]</f>
        <v>158</v>
      </c>
      <c r="M39" s="5">
        <f>Table34101112131814[[#This Row],[  55-59]]-Table341011[[#This Row],[  55-59]]</f>
        <v>195</v>
      </c>
      <c r="N39" s="5">
        <f>Table34101112131814[[#This Row],[  60-64]]-Table341011[[#This Row],[  60-64]]</f>
        <v>83</v>
      </c>
      <c r="O39" s="5">
        <f>Table34101112131814[[#This Row],[  65-69]]-Table341011[[#This Row],[  65-69]]</f>
        <v>85</v>
      </c>
      <c r="P39" s="5">
        <f>Table34101112131814[[#This Row],[  70-74]]-Table341011[[#This Row],[  70-74]]</f>
        <v>111</v>
      </c>
      <c r="Q39" s="5">
        <f>Table34101112131814[[#This Row],[  75-79]]-Table341011[[#This Row],[  75-79]]</f>
        <v>-16</v>
      </c>
      <c r="R39" s="5">
        <f>Table34101112131814[[#This Row],[  80-84]]-Table341011[[#This Row],[  80-84]]</f>
        <v>-5</v>
      </c>
      <c r="S39" s="5">
        <f>Table34101112131814[[#This Row],[  85-89]]-Table341011[[#This Row],[  85-89]]</f>
        <v>29</v>
      </c>
      <c r="T39" s="5">
        <f>Table34101112131814[[#This Row],[  90+]]-Table341011[[#This Row],[  90+]]</f>
        <v>-6</v>
      </c>
    </row>
    <row r="40" spans="1:20" x14ac:dyDescent="0.2">
      <c r="A40" s="9" t="s">
        <v>13</v>
      </c>
      <c r="B40" s="6" t="s">
        <v>23</v>
      </c>
      <c r="C40" s="5">
        <f>Table34101112131814[[#This Row],[Total]]-Table341011[[#This Row],[Total]]</f>
        <v>4621</v>
      </c>
      <c r="D40" s="5">
        <f>Table34101112131814[[#This Row],[  5-11]]-Table341011[[#This Row],[  5-11]]</f>
        <v>1940</v>
      </c>
      <c r="E40" s="5">
        <f>Table34101112131814[[#This Row],[  12-17]]-Table341011[[#This Row],[  12-17]]</f>
        <v>395</v>
      </c>
      <c r="F40" s="5">
        <f>Table34101112131814[[#This Row],[  18-24]]-Table341011[[#This Row],[  18-24]]</f>
        <v>350</v>
      </c>
      <c r="G40" s="5">
        <f>Table34101112131814[[#This Row],[  25-29 ]]-Table341011[[#This Row],[  25-29 ]]</f>
        <v>337</v>
      </c>
      <c r="H40" s="5">
        <f>Table34101112131814[[#This Row],[  30-34]]-Table341011[[#This Row],[  30-34]]</f>
        <v>237</v>
      </c>
      <c r="I40" s="5">
        <f>Table34101112131814[[#This Row],[  35-39]]-Table341011[[#This Row],[  35-39]]</f>
        <v>155</v>
      </c>
      <c r="J40" s="5">
        <f>Table34101112131814[[#This Row],[  40-44]]-Table341011[[#This Row],[  40-44]]</f>
        <v>191</v>
      </c>
      <c r="K40" s="5">
        <f>Table34101112131814[[#This Row],[  45-49 ]]-Table341011[[#This Row],[  45-49 ]]</f>
        <v>261</v>
      </c>
      <c r="L40" s="5">
        <f>Table34101112131814[[#This Row],[  50-54]]-Table341011[[#This Row],[  50-54]]</f>
        <v>160</v>
      </c>
      <c r="M40" s="5">
        <f>Table34101112131814[[#This Row],[  55-59]]-Table341011[[#This Row],[  55-59]]</f>
        <v>182</v>
      </c>
      <c r="N40" s="5">
        <f>Table34101112131814[[#This Row],[  60-64]]-Table341011[[#This Row],[  60-64]]</f>
        <v>165</v>
      </c>
      <c r="O40" s="5">
        <f>Table34101112131814[[#This Row],[  65-69]]-Table341011[[#This Row],[  65-69]]</f>
        <v>100</v>
      </c>
      <c r="P40" s="5">
        <f>Table34101112131814[[#This Row],[  70-74]]-Table341011[[#This Row],[  70-74]]</f>
        <v>98</v>
      </c>
      <c r="Q40" s="5">
        <f>Table34101112131814[[#This Row],[  75-79]]-Table341011[[#This Row],[  75-79]]</f>
        <v>-41</v>
      </c>
      <c r="R40" s="5">
        <f>Table34101112131814[[#This Row],[  80-84]]-Table341011[[#This Row],[  80-84]]</f>
        <v>60</v>
      </c>
      <c r="S40" s="5">
        <f>Table34101112131814[[#This Row],[  85-89]]-Table341011[[#This Row],[  85-89]]</f>
        <v>11</v>
      </c>
      <c r="T40" s="5">
        <f>Table34101112131814[[#This Row],[  90+]]-Table341011[[#This Row],[  90+]]</f>
        <v>20</v>
      </c>
    </row>
    <row r="41" spans="1:20" x14ac:dyDescent="0.2">
      <c r="A41" s="9" t="s">
        <v>14</v>
      </c>
      <c r="B41" s="6" t="s">
        <v>22</v>
      </c>
      <c r="C41" s="5">
        <f>Table34101112131814[[#This Row],[Total]]-Table341011[[#This Row],[Total]]</f>
        <v>43021</v>
      </c>
      <c r="D41" s="5">
        <f>Table34101112131814[[#This Row],[  5-11]]-Table341011[[#This Row],[  5-11]]</f>
        <v>20288</v>
      </c>
      <c r="E41" s="5">
        <f>Table34101112131814[[#This Row],[  12-17]]-Table341011[[#This Row],[  12-17]]</f>
        <v>4359</v>
      </c>
      <c r="F41" s="5">
        <f>Table34101112131814[[#This Row],[  18-24]]-Table341011[[#This Row],[  18-24]]</f>
        <v>511</v>
      </c>
      <c r="G41" s="5">
        <f>Table34101112131814[[#This Row],[  25-29 ]]-Table341011[[#This Row],[  25-29 ]]</f>
        <v>3087</v>
      </c>
      <c r="H41" s="5">
        <f>Table34101112131814[[#This Row],[  30-34]]-Table341011[[#This Row],[  30-34]]</f>
        <v>3055</v>
      </c>
      <c r="I41" s="5">
        <f>Table34101112131814[[#This Row],[  35-39]]-Table341011[[#This Row],[  35-39]]</f>
        <v>2196</v>
      </c>
      <c r="J41" s="5">
        <f>Table34101112131814[[#This Row],[  40-44]]-Table341011[[#This Row],[  40-44]]</f>
        <v>1726</v>
      </c>
      <c r="K41" s="5">
        <f>Table34101112131814[[#This Row],[  45-49 ]]-Table341011[[#This Row],[  45-49 ]]</f>
        <v>2065</v>
      </c>
      <c r="L41" s="5">
        <f>Table34101112131814[[#This Row],[  50-54]]-Table341011[[#This Row],[  50-54]]</f>
        <v>1530</v>
      </c>
      <c r="M41" s="5">
        <f>Table34101112131814[[#This Row],[  55-59]]-Table341011[[#This Row],[  55-59]]</f>
        <v>1995</v>
      </c>
      <c r="N41" s="5">
        <f>Table34101112131814[[#This Row],[  60-64]]-Table341011[[#This Row],[  60-64]]</f>
        <v>1016</v>
      </c>
      <c r="O41" s="5">
        <f>Table34101112131814[[#This Row],[  65-69]]-Table341011[[#This Row],[  65-69]]</f>
        <v>535</v>
      </c>
      <c r="P41" s="5">
        <f>Table34101112131814[[#This Row],[  70-74]]-Table341011[[#This Row],[  70-74]]</f>
        <v>666</v>
      </c>
      <c r="Q41" s="5">
        <f>Table34101112131814[[#This Row],[  75-79]]-Table341011[[#This Row],[  75-79]]</f>
        <v>-317</v>
      </c>
      <c r="R41" s="5">
        <f>Table34101112131814[[#This Row],[  80-84]]-Table341011[[#This Row],[  80-84]]</f>
        <v>139</v>
      </c>
      <c r="S41" s="5">
        <f>Table34101112131814[[#This Row],[  85-89]]-Table341011[[#This Row],[  85-89]]</f>
        <v>82</v>
      </c>
      <c r="T41" s="5">
        <f>Table34101112131814[[#This Row],[  90+]]-Table341011[[#This Row],[  90+]]</f>
        <v>88</v>
      </c>
    </row>
    <row r="42" spans="1:20" x14ac:dyDescent="0.2">
      <c r="A42" s="9" t="s">
        <v>14</v>
      </c>
      <c r="B42" s="6" t="s">
        <v>0</v>
      </c>
      <c r="C42" s="5">
        <f>Table34101112131814[[#This Row],[Total]]-Table341011[[#This Row],[Total]]</f>
        <v>22143</v>
      </c>
      <c r="D42" s="5">
        <f>Table34101112131814[[#This Row],[  5-11]]-Table341011[[#This Row],[  5-11]]</f>
        <v>10467</v>
      </c>
      <c r="E42" s="5">
        <f>Table34101112131814[[#This Row],[  12-17]]-Table341011[[#This Row],[  12-17]]</f>
        <v>2303</v>
      </c>
      <c r="F42" s="5">
        <f>Table34101112131814[[#This Row],[  18-24]]-Table341011[[#This Row],[  18-24]]</f>
        <v>450</v>
      </c>
      <c r="G42" s="5">
        <f>Table34101112131814[[#This Row],[  25-29 ]]-Table341011[[#This Row],[  25-29 ]]</f>
        <v>1588</v>
      </c>
      <c r="H42" s="5">
        <f>Table34101112131814[[#This Row],[  30-34]]-Table341011[[#This Row],[  30-34]]</f>
        <v>1423</v>
      </c>
      <c r="I42" s="5">
        <f>Table34101112131814[[#This Row],[  35-39]]-Table341011[[#This Row],[  35-39]]</f>
        <v>1110</v>
      </c>
      <c r="J42" s="5">
        <f>Table34101112131814[[#This Row],[  40-44]]-Table341011[[#This Row],[  40-44]]</f>
        <v>952</v>
      </c>
      <c r="K42" s="5">
        <f>Table34101112131814[[#This Row],[  45-49 ]]-Table341011[[#This Row],[  45-49 ]]</f>
        <v>1045</v>
      </c>
      <c r="L42" s="5">
        <f>Table34101112131814[[#This Row],[  50-54]]-Table341011[[#This Row],[  50-54]]</f>
        <v>726</v>
      </c>
      <c r="M42" s="5">
        <f>Table34101112131814[[#This Row],[  55-59]]-Table341011[[#This Row],[  55-59]]</f>
        <v>1061</v>
      </c>
      <c r="N42" s="5">
        <f>Table34101112131814[[#This Row],[  60-64]]-Table341011[[#This Row],[  60-64]]</f>
        <v>548</v>
      </c>
      <c r="O42" s="5">
        <f>Table34101112131814[[#This Row],[  65-69]]-Table341011[[#This Row],[  65-69]]</f>
        <v>247</v>
      </c>
      <c r="P42" s="5">
        <f>Table34101112131814[[#This Row],[  70-74]]-Table341011[[#This Row],[  70-74]]</f>
        <v>286</v>
      </c>
      <c r="Q42" s="5">
        <f>Table34101112131814[[#This Row],[  75-79]]-Table341011[[#This Row],[  75-79]]</f>
        <v>-155</v>
      </c>
      <c r="R42" s="5">
        <f>Table34101112131814[[#This Row],[  80-84]]-Table341011[[#This Row],[  80-84]]</f>
        <v>80</v>
      </c>
      <c r="S42" s="5">
        <f>Table34101112131814[[#This Row],[  85-89]]-Table341011[[#This Row],[  85-89]]</f>
        <v>0</v>
      </c>
      <c r="T42" s="5">
        <f>Table34101112131814[[#This Row],[  90+]]-Table341011[[#This Row],[  90+]]</f>
        <v>12</v>
      </c>
    </row>
    <row r="43" spans="1:20" x14ac:dyDescent="0.2">
      <c r="A43" s="9" t="s">
        <v>14</v>
      </c>
      <c r="B43" s="6" t="s">
        <v>23</v>
      </c>
      <c r="C43" s="5">
        <f>Table34101112131814[[#This Row],[Total]]-Table341011[[#This Row],[Total]]</f>
        <v>20878</v>
      </c>
      <c r="D43" s="5">
        <f>Table34101112131814[[#This Row],[  5-11]]-Table341011[[#This Row],[  5-11]]</f>
        <v>9821</v>
      </c>
      <c r="E43" s="5">
        <f>Table34101112131814[[#This Row],[  12-17]]-Table341011[[#This Row],[  12-17]]</f>
        <v>2056</v>
      </c>
      <c r="F43" s="5">
        <f>Table34101112131814[[#This Row],[  18-24]]-Table341011[[#This Row],[  18-24]]</f>
        <v>61</v>
      </c>
      <c r="G43" s="5">
        <f>Table34101112131814[[#This Row],[  25-29 ]]-Table341011[[#This Row],[  25-29 ]]</f>
        <v>1499</v>
      </c>
      <c r="H43" s="5">
        <f>Table34101112131814[[#This Row],[  30-34]]-Table341011[[#This Row],[  30-34]]</f>
        <v>1632</v>
      </c>
      <c r="I43" s="5">
        <f>Table34101112131814[[#This Row],[  35-39]]-Table341011[[#This Row],[  35-39]]</f>
        <v>1086</v>
      </c>
      <c r="J43" s="5">
        <f>Table34101112131814[[#This Row],[  40-44]]-Table341011[[#This Row],[  40-44]]</f>
        <v>774</v>
      </c>
      <c r="K43" s="5">
        <f>Table34101112131814[[#This Row],[  45-49 ]]-Table341011[[#This Row],[  45-49 ]]</f>
        <v>1020</v>
      </c>
      <c r="L43" s="5">
        <f>Table34101112131814[[#This Row],[  50-54]]-Table341011[[#This Row],[  50-54]]</f>
        <v>804</v>
      </c>
      <c r="M43" s="5">
        <f>Table34101112131814[[#This Row],[  55-59]]-Table341011[[#This Row],[  55-59]]</f>
        <v>934</v>
      </c>
      <c r="N43" s="5">
        <f>Table34101112131814[[#This Row],[  60-64]]-Table341011[[#This Row],[  60-64]]</f>
        <v>468</v>
      </c>
      <c r="O43" s="5">
        <f>Table34101112131814[[#This Row],[  65-69]]-Table341011[[#This Row],[  65-69]]</f>
        <v>288</v>
      </c>
      <c r="P43" s="5">
        <f>Table34101112131814[[#This Row],[  70-74]]-Table341011[[#This Row],[  70-74]]</f>
        <v>380</v>
      </c>
      <c r="Q43" s="5">
        <f>Table34101112131814[[#This Row],[  75-79]]-Table341011[[#This Row],[  75-79]]</f>
        <v>-162</v>
      </c>
      <c r="R43" s="5">
        <f>Table34101112131814[[#This Row],[  80-84]]-Table341011[[#This Row],[  80-84]]</f>
        <v>59</v>
      </c>
      <c r="S43" s="5">
        <f>Table34101112131814[[#This Row],[  85-89]]-Table341011[[#This Row],[  85-89]]</f>
        <v>82</v>
      </c>
      <c r="T43" s="5">
        <f>Table34101112131814[[#This Row],[  90+]]-Table341011[[#This Row],[  90+]]</f>
        <v>76</v>
      </c>
    </row>
    <row r="44" spans="1:20" x14ac:dyDescent="0.2">
      <c r="A44" s="9" t="s">
        <v>15</v>
      </c>
      <c r="B44" s="6" t="s">
        <v>22</v>
      </c>
      <c r="C44" s="5">
        <f>Table34101112131814[[#This Row],[Total]]-Table341011[[#This Row],[Total]]</f>
        <v>10003</v>
      </c>
      <c r="D44" s="5">
        <f>Table34101112131814[[#This Row],[  5-11]]-Table341011[[#This Row],[  5-11]]</f>
        <v>4122</v>
      </c>
      <c r="E44" s="5">
        <f>Table34101112131814[[#This Row],[  12-17]]-Table341011[[#This Row],[  12-17]]</f>
        <v>1160</v>
      </c>
      <c r="F44" s="5">
        <f>Table34101112131814[[#This Row],[  18-24]]-Table341011[[#This Row],[  18-24]]</f>
        <v>741</v>
      </c>
      <c r="G44" s="5">
        <f>Table34101112131814[[#This Row],[  25-29 ]]-Table341011[[#This Row],[  25-29 ]]</f>
        <v>754</v>
      </c>
      <c r="H44" s="5">
        <f>Table34101112131814[[#This Row],[  30-34]]-Table341011[[#This Row],[  30-34]]</f>
        <v>577</v>
      </c>
      <c r="I44" s="5">
        <f>Table34101112131814[[#This Row],[  35-39]]-Table341011[[#This Row],[  35-39]]</f>
        <v>390</v>
      </c>
      <c r="J44" s="5">
        <f>Table34101112131814[[#This Row],[  40-44]]-Table341011[[#This Row],[  40-44]]</f>
        <v>475</v>
      </c>
      <c r="K44" s="5">
        <f>Table34101112131814[[#This Row],[  45-49 ]]-Table341011[[#This Row],[  45-49 ]]</f>
        <v>463</v>
      </c>
      <c r="L44" s="5">
        <f>Table34101112131814[[#This Row],[  50-54]]-Table341011[[#This Row],[  50-54]]</f>
        <v>380</v>
      </c>
      <c r="M44" s="5">
        <f>Table34101112131814[[#This Row],[  55-59]]-Table341011[[#This Row],[  55-59]]</f>
        <v>362</v>
      </c>
      <c r="N44" s="5">
        <f>Table34101112131814[[#This Row],[  60-64]]-Table341011[[#This Row],[  60-64]]</f>
        <v>252</v>
      </c>
      <c r="O44" s="5">
        <f>Table34101112131814[[#This Row],[  65-69]]-Table341011[[#This Row],[  65-69]]</f>
        <v>238</v>
      </c>
      <c r="P44" s="5">
        <f>Table34101112131814[[#This Row],[  70-74]]-Table341011[[#This Row],[  70-74]]</f>
        <v>74</v>
      </c>
      <c r="Q44" s="5">
        <f>Table34101112131814[[#This Row],[  75-79]]-Table341011[[#This Row],[  75-79]]</f>
        <v>-18</v>
      </c>
      <c r="R44" s="5">
        <f>Table34101112131814[[#This Row],[  80-84]]-Table341011[[#This Row],[  80-84]]</f>
        <v>22</v>
      </c>
      <c r="S44" s="5">
        <f>Table34101112131814[[#This Row],[  85-89]]-Table341011[[#This Row],[  85-89]]</f>
        <v>-1</v>
      </c>
      <c r="T44" s="5">
        <f>Table34101112131814[[#This Row],[  90+]]-Table341011[[#This Row],[  90+]]</f>
        <v>12</v>
      </c>
    </row>
    <row r="45" spans="1:20" x14ac:dyDescent="0.2">
      <c r="A45" s="9" t="s">
        <v>15</v>
      </c>
      <c r="B45" s="6" t="s">
        <v>0</v>
      </c>
      <c r="C45" s="5">
        <f>Table34101112131814[[#This Row],[Total]]-Table341011[[#This Row],[Total]]</f>
        <v>5103</v>
      </c>
      <c r="D45" s="5">
        <f>Table34101112131814[[#This Row],[  5-11]]-Table341011[[#This Row],[  5-11]]</f>
        <v>2077</v>
      </c>
      <c r="E45" s="5">
        <f>Table34101112131814[[#This Row],[  12-17]]-Table341011[[#This Row],[  12-17]]</f>
        <v>614</v>
      </c>
      <c r="F45" s="5">
        <f>Table34101112131814[[#This Row],[  18-24]]-Table341011[[#This Row],[  18-24]]</f>
        <v>404</v>
      </c>
      <c r="G45" s="5">
        <f>Table34101112131814[[#This Row],[  25-29 ]]-Table341011[[#This Row],[  25-29 ]]</f>
        <v>389</v>
      </c>
      <c r="H45" s="5">
        <f>Table34101112131814[[#This Row],[  30-34]]-Table341011[[#This Row],[  30-34]]</f>
        <v>277</v>
      </c>
      <c r="I45" s="5">
        <f>Table34101112131814[[#This Row],[  35-39]]-Table341011[[#This Row],[  35-39]]</f>
        <v>147</v>
      </c>
      <c r="J45" s="5">
        <f>Table34101112131814[[#This Row],[  40-44]]-Table341011[[#This Row],[  40-44]]</f>
        <v>277</v>
      </c>
      <c r="K45" s="5">
        <f>Table34101112131814[[#This Row],[  45-49 ]]-Table341011[[#This Row],[  45-49 ]]</f>
        <v>247</v>
      </c>
      <c r="L45" s="5">
        <f>Table34101112131814[[#This Row],[  50-54]]-Table341011[[#This Row],[  50-54]]</f>
        <v>181</v>
      </c>
      <c r="M45" s="5">
        <f>Table34101112131814[[#This Row],[  55-59]]-Table341011[[#This Row],[  55-59]]</f>
        <v>198</v>
      </c>
      <c r="N45" s="5">
        <f>Table34101112131814[[#This Row],[  60-64]]-Table341011[[#This Row],[  60-64]]</f>
        <v>133</v>
      </c>
      <c r="O45" s="5">
        <f>Table34101112131814[[#This Row],[  65-69]]-Table341011[[#This Row],[  65-69]]</f>
        <v>154</v>
      </c>
      <c r="P45" s="5">
        <f>Table34101112131814[[#This Row],[  70-74]]-Table341011[[#This Row],[  70-74]]</f>
        <v>21</v>
      </c>
      <c r="Q45" s="5">
        <f>Table34101112131814[[#This Row],[  75-79]]-Table341011[[#This Row],[  75-79]]</f>
        <v>-12</v>
      </c>
      <c r="R45" s="5">
        <f>Table34101112131814[[#This Row],[  80-84]]-Table341011[[#This Row],[  80-84]]</f>
        <v>-14</v>
      </c>
      <c r="S45" s="5">
        <f>Table34101112131814[[#This Row],[  85-89]]-Table341011[[#This Row],[  85-89]]</f>
        <v>10</v>
      </c>
      <c r="T45" s="5">
        <f>Table34101112131814[[#This Row],[  90+]]-Table341011[[#This Row],[  90+]]</f>
        <v>0</v>
      </c>
    </row>
    <row r="46" spans="1:20" x14ac:dyDescent="0.2">
      <c r="A46" s="9" t="s">
        <v>15</v>
      </c>
      <c r="B46" s="6" t="s">
        <v>23</v>
      </c>
      <c r="C46" s="5">
        <f>Table34101112131814[[#This Row],[Total]]-Table341011[[#This Row],[Total]]</f>
        <v>4900</v>
      </c>
      <c r="D46" s="5">
        <f>Table34101112131814[[#This Row],[  5-11]]-Table341011[[#This Row],[  5-11]]</f>
        <v>2045</v>
      </c>
      <c r="E46" s="5">
        <f>Table34101112131814[[#This Row],[  12-17]]-Table341011[[#This Row],[  12-17]]</f>
        <v>546</v>
      </c>
      <c r="F46" s="5">
        <f>Table34101112131814[[#This Row],[  18-24]]-Table341011[[#This Row],[  18-24]]</f>
        <v>337</v>
      </c>
      <c r="G46" s="5">
        <f>Table34101112131814[[#This Row],[  25-29 ]]-Table341011[[#This Row],[  25-29 ]]</f>
        <v>365</v>
      </c>
      <c r="H46" s="5">
        <f>Table34101112131814[[#This Row],[  30-34]]-Table341011[[#This Row],[  30-34]]</f>
        <v>300</v>
      </c>
      <c r="I46" s="5">
        <f>Table34101112131814[[#This Row],[  35-39]]-Table341011[[#This Row],[  35-39]]</f>
        <v>243</v>
      </c>
      <c r="J46" s="5">
        <f>Table34101112131814[[#This Row],[  40-44]]-Table341011[[#This Row],[  40-44]]</f>
        <v>198</v>
      </c>
      <c r="K46" s="5">
        <f>Table34101112131814[[#This Row],[  45-49 ]]-Table341011[[#This Row],[  45-49 ]]</f>
        <v>216</v>
      </c>
      <c r="L46" s="5">
        <f>Table34101112131814[[#This Row],[  50-54]]-Table341011[[#This Row],[  50-54]]</f>
        <v>199</v>
      </c>
      <c r="M46" s="5">
        <f>Table34101112131814[[#This Row],[  55-59]]-Table341011[[#This Row],[  55-59]]</f>
        <v>164</v>
      </c>
      <c r="N46" s="5">
        <f>Table34101112131814[[#This Row],[  60-64]]-Table341011[[#This Row],[  60-64]]</f>
        <v>119</v>
      </c>
      <c r="O46" s="5">
        <f>Table34101112131814[[#This Row],[  65-69]]-Table341011[[#This Row],[  65-69]]</f>
        <v>84</v>
      </c>
      <c r="P46" s="5">
        <f>Table34101112131814[[#This Row],[  70-74]]-Table341011[[#This Row],[  70-74]]</f>
        <v>53</v>
      </c>
      <c r="Q46" s="5">
        <f>Table34101112131814[[#This Row],[  75-79]]-Table341011[[#This Row],[  75-79]]</f>
        <v>-6</v>
      </c>
      <c r="R46" s="5">
        <f>Table34101112131814[[#This Row],[  80-84]]-Table341011[[#This Row],[  80-84]]</f>
        <v>36</v>
      </c>
      <c r="S46" s="5">
        <f>Table34101112131814[[#This Row],[  85-89]]-Table341011[[#This Row],[  85-89]]</f>
        <v>-11</v>
      </c>
      <c r="T46" s="5">
        <f>Table34101112131814[[#This Row],[  90+]]-Table341011[[#This Row],[  90+]]</f>
        <v>12</v>
      </c>
    </row>
    <row r="47" spans="1:20" x14ac:dyDescent="0.2">
      <c r="A47" s="9" t="s">
        <v>16</v>
      </c>
      <c r="B47" s="6" t="s">
        <v>22</v>
      </c>
      <c r="C47" s="5">
        <f>Table34101112131814[[#This Row],[Total]]-Table341011[[#This Row],[Total]]</f>
        <v>21416</v>
      </c>
      <c r="D47" s="5">
        <f>Table34101112131814[[#This Row],[  5-11]]-Table341011[[#This Row],[  5-11]]</f>
        <v>9793</v>
      </c>
      <c r="E47" s="5">
        <f>Table34101112131814[[#This Row],[  12-17]]-Table341011[[#This Row],[  12-17]]</f>
        <v>2162</v>
      </c>
      <c r="F47" s="5">
        <f>Table34101112131814[[#This Row],[  18-24]]-Table341011[[#This Row],[  18-24]]</f>
        <v>1283</v>
      </c>
      <c r="G47" s="5">
        <f>Table34101112131814[[#This Row],[  25-29 ]]-Table341011[[#This Row],[  25-29 ]]</f>
        <v>1298</v>
      </c>
      <c r="H47" s="5">
        <f>Table34101112131814[[#This Row],[  30-34]]-Table341011[[#This Row],[  30-34]]</f>
        <v>1342</v>
      </c>
      <c r="I47" s="5">
        <f>Table34101112131814[[#This Row],[  35-39]]-Table341011[[#This Row],[  35-39]]</f>
        <v>965</v>
      </c>
      <c r="J47" s="5">
        <f>Table34101112131814[[#This Row],[  40-44]]-Table341011[[#This Row],[  40-44]]</f>
        <v>930</v>
      </c>
      <c r="K47" s="5">
        <f>Table34101112131814[[#This Row],[  45-49 ]]-Table341011[[#This Row],[  45-49 ]]</f>
        <v>1018</v>
      </c>
      <c r="L47" s="5">
        <f>Table34101112131814[[#This Row],[  50-54]]-Table341011[[#This Row],[  50-54]]</f>
        <v>787</v>
      </c>
      <c r="M47" s="5">
        <f>Table34101112131814[[#This Row],[  55-59]]-Table341011[[#This Row],[  55-59]]</f>
        <v>798</v>
      </c>
      <c r="N47" s="5">
        <f>Table34101112131814[[#This Row],[  60-64]]-Table341011[[#This Row],[  60-64]]</f>
        <v>465</v>
      </c>
      <c r="O47" s="5">
        <f>Table34101112131814[[#This Row],[  65-69]]-Table341011[[#This Row],[  65-69]]</f>
        <v>321</v>
      </c>
      <c r="P47" s="5">
        <f>Table34101112131814[[#This Row],[  70-74]]-Table341011[[#This Row],[  70-74]]</f>
        <v>266</v>
      </c>
      <c r="Q47" s="5">
        <f>Table34101112131814[[#This Row],[  75-79]]-Table341011[[#This Row],[  75-79]]</f>
        <v>-106</v>
      </c>
      <c r="R47" s="5">
        <f>Table34101112131814[[#This Row],[  80-84]]-Table341011[[#This Row],[  80-84]]</f>
        <v>1</v>
      </c>
      <c r="S47" s="5">
        <f>Table34101112131814[[#This Row],[  85-89]]-Table341011[[#This Row],[  85-89]]</f>
        <v>62</v>
      </c>
      <c r="T47" s="5">
        <f>Table34101112131814[[#This Row],[  90+]]-Table341011[[#This Row],[  90+]]</f>
        <v>31</v>
      </c>
    </row>
    <row r="48" spans="1:20" x14ac:dyDescent="0.2">
      <c r="A48" s="9" t="s">
        <v>16</v>
      </c>
      <c r="B48" s="6" t="s">
        <v>0</v>
      </c>
      <c r="C48" s="5">
        <f>Table34101112131814[[#This Row],[Total]]-Table341011[[#This Row],[Total]]</f>
        <v>10849</v>
      </c>
      <c r="D48" s="5">
        <f>Table34101112131814[[#This Row],[  5-11]]-Table341011[[#This Row],[  5-11]]</f>
        <v>4996</v>
      </c>
      <c r="E48" s="5">
        <f>Table34101112131814[[#This Row],[  12-17]]-Table341011[[#This Row],[  12-17]]</f>
        <v>1171</v>
      </c>
      <c r="F48" s="5">
        <f>Table34101112131814[[#This Row],[  18-24]]-Table341011[[#This Row],[  18-24]]</f>
        <v>688</v>
      </c>
      <c r="G48" s="5">
        <f>Table34101112131814[[#This Row],[  25-29 ]]-Table341011[[#This Row],[  25-29 ]]</f>
        <v>578</v>
      </c>
      <c r="H48" s="5">
        <f>Table34101112131814[[#This Row],[  30-34]]-Table341011[[#This Row],[  30-34]]</f>
        <v>657</v>
      </c>
      <c r="I48" s="5">
        <f>Table34101112131814[[#This Row],[  35-39]]-Table341011[[#This Row],[  35-39]]</f>
        <v>510</v>
      </c>
      <c r="J48" s="5">
        <f>Table34101112131814[[#This Row],[  40-44]]-Table341011[[#This Row],[  40-44]]</f>
        <v>426</v>
      </c>
      <c r="K48" s="5">
        <f>Table34101112131814[[#This Row],[  45-49 ]]-Table341011[[#This Row],[  45-49 ]]</f>
        <v>536</v>
      </c>
      <c r="L48" s="5">
        <f>Table34101112131814[[#This Row],[  50-54]]-Table341011[[#This Row],[  50-54]]</f>
        <v>387</v>
      </c>
      <c r="M48" s="5">
        <f>Table34101112131814[[#This Row],[  55-59]]-Table341011[[#This Row],[  55-59]]</f>
        <v>409</v>
      </c>
      <c r="N48" s="5">
        <f>Table34101112131814[[#This Row],[  60-64]]-Table341011[[#This Row],[  60-64]]</f>
        <v>214</v>
      </c>
      <c r="O48" s="5">
        <f>Table34101112131814[[#This Row],[  65-69]]-Table341011[[#This Row],[  65-69]]</f>
        <v>203</v>
      </c>
      <c r="P48" s="5">
        <f>Table34101112131814[[#This Row],[  70-74]]-Table341011[[#This Row],[  70-74]]</f>
        <v>107</v>
      </c>
      <c r="Q48" s="5">
        <f>Table34101112131814[[#This Row],[  75-79]]-Table341011[[#This Row],[  75-79]]</f>
        <v>-31</v>
      </c>
      <c r="R48" s="5">
        <f>Table34101112131814[[#This Row],[  80-84]]-Table341011[[#This Row],[  80-84]]</f>
        <v>-13</v>
      </c>
      <c r="S48" s="5">
        <f>Table34101112131814[[#This Row],[  85-89]]-Table341011[[#This Row],[  85-89]]</f>
        <v>4</v>
      </c>
      <c r="T48" s="5">
        <f>Table34101112131814[[#This Row],[  90+]]-Table341011[[#This Row],[  90+]]</f>
        <v>7</v>
      </c>
    </row>
    <row r="49" spans="1:20" x14ac:dyDescent="0.2">
      <c r="A49" s="9" t="s">
        <v>16</v>
      </c>
      <c r="B49" s="6" t="s">
        <v>23</v>
      </c>
      <c r="C49" s="5">
        <f>Table34101112131814[[#This Row],[Total]]-Table341011[[#This Row],[Total]]</f>
        <v>10567</v>
      </c>
      <c r="D49" s="5">
        <f>Table34101112131814[[#This Row],[  5-11]]-Table341011[[#This Row],[  5-11]]</f>
        <v>4797</v>
      </c>
      <c r="E49" s="5">
        <f>Table34101112131814[[#This Row],[  12-17]]-Table341011[[#This Row],[  12-17]]</f>
        <v>991</v>
      </c>
      <c r="F49" s="5">
        <f>Table34101112131814[[#This Row],[  18-24]]-Table341011[[#This Row],[  18-24]]</f>
        <v>595</v>
      </c>
      <c r="G49" s="5">
        <f>Table34101112131814[[#This Row],[  25-29 ]]-Table341011[[#This Row],[  25-29 ]]</f>
        <v>720</v>
      </c>
      <c r="H49" s="5">
        <f>Table34101112131814[[#This Row],[  30-34]]-Table341011[[#This Row],[  30-34]]</f>
        <v>685</v>
      </c>
      <c r="I49" s="5">
        <f>Table34101112131814[[#This Row],[  35-39]]-Table341011[[#This Row],[  35-39]]</f>
        <v>455</v>
      </c>
      <c r="J49" s="5">
        <f>Table34101112131814[[#This Row],[  40-44]]-Table341011[[#This Row],[  40-44]]</f>
        <v>504</v>
      </c>
      <c r="K49" s="5">
        <f>Table34101112131814[[#This Row],[  45-49 ]]-Table341011[[#This Row],[  45-49 ]]</f>
        <v>482</v>
      </c>
      <c r="L49" s="5">
        <f>Table34101112131814[[#This Row],[  50-54]]-Table341011[[#This Row],[  50-54]]</f>
        <v>400</v>
      </c>
      <c r="M49" s="5">
        <f>Table34101112131814[[#This Row],[  55-59]]-Table341011[[#This Row],[  55-59]]</f>
        <v>389</v>
      </c>
      <c r="N49" s="5">
        <f>Table34101112131814[[#This Row],[  60-64]]-Table341011[[#This Row],[  60-64]]</f>
        <v>251</v>
      </c>
      <c r="O49" s="5">
        <f>Table34101112131814[[#This Row],[  65-69]]-Table341011[[#This Row],[  65-69]]</f>
        <v>118</v>
      </c>
      <c r="P49" s="5">
        <f>Table34101112131814[[#This Row],[  70-74]]-Table341011[[#This Row],[  70-74]]</f>
        <v>159</v>
      </c>
      <c r="Q49" s="5">
        <f>Table34101112131814[[#This Row],[  75-79]]-Table341011[[#This Row],[  75-79]]</f>
        <v>-75</v>
      </c>
      <c r="R49" s="5">
        <f>Table34101112131814[[#This Row],[  80-84]]-Table341011[[#This Row],[  80-84]]</f>
        <v>14</v>
      </c>
      <c r="S49" s="5">
        <f>Table34101112131814[[#This Row],[  85-89]]-Table341011[[#This Row],[  85-89]]</f>
        <v>58</v>
      </c>
      <c r="T49" s="5">
        <f>Table34101112131814[[#This Row],[  90+]]-Table341011[[#This Row],[  90+]]</f>
        <v>24</v>
      </c>
    </row>
    <row r="50" spans="1:20" x14ac:dyDescent="0.2">
      <c r="A50" s="11" t="s">
        <v>17</v>
      </c>
      <c r="B50" s="6" t="s">
        <v>22</v>
      </c>
      <c r="C50" s="5">
        <f>Table34101112131814[[#This Row],[Total]]-Table341011[[#This Row],[Total]]</f>
        <v>75945</v>
      </c>
      <c r="D50" s="5">
        <f>Table34101112131814[[#This Row],[  5-11]]-Table341011[[#This Row],[  5-11]]</f>
        <v>34504</v>
      </c>
      <c r="E50" s="5">
        <f>Table34101112131814[[#This Row],[  12-17]]-Table341011[[#This Row],[  12-17]]</f>
        <v>8003</v>
      </c>
      <c r="F50" s="5">
        <f>Table34101112131814[[#This Row],[  18-24]]-Table341011[[#This Row],[  18-24]]</f>
        <v>5006</v>
      </c>
      <c r="G50" s="5">
        <f>Table34101112131814[[#This Row],[  25-29 ]]-Table341011[[#This Row],[  25-29 ]]</f>
        <v>5195</v>
      </c>
      <c r="H50" s="5">
        <f>Table34101112131814[[#This Row],[  30-34]]-Table341011[[#This Row],[  30-34]]</f>
        <v>3961</v>
      </c>
      <c r="I50" s="5">
        <f>Table34101112131814[[#This Row],[  35-39]]-Table341011[[#This Row],[  35-39]]</f>
        <v>3063</v>
      </c>
      <c r="J50" s="5">
        <f>Table34101112131814[[#This Row],[  40-44]]-Table341011[[#This Row],[  40-44]]</f>
        <v>2768</v>
      </c>
      <c r="K50" s="5">
        <f>Table34101112131814[[#This Row],[  45-49 ]]-Table341011[[#This Row],[  45-49 ]]</f>
        <v>3229</v>
      </c>
      <c r="L50" s="5">
        <f>Table34101112131814[[#This Row],[  50-54]]-Table341011[[#This Row],[  50-54]]</f>
        <v>2711</v>
      </c>
      <c r="M50" s="5">
        <f>Table34101112131814[[#This Row],[  55-59]]-Table341011[[#This Row],[  55-59]]</f>
        <v>2669</v>
      </c>
      <c r="N50" s="5">
        <f>Table34101112131814[[#This Row],[  60-64]]-Table341011[[#This Row],[  60-64]]</f>
        <v>1859</v>
      </c>
      <c r="O50" s="5">
        <f>Table34101112131814[[#This Row],[  65-69]]-Table341011[[#This Row],[  65-69]]</f>
        <v>1388</v>
      </c>
      <c r="P50" s="5">
        <f>Table34101112131814[[#This Row],[  70-74]]-Table341011[[#This Row],[  70-74]]</f>
        <v>1193</v>
      </c>
      <c r="Q50" s="5">
        <f>Table34101112131814[[#This Row],[  75-79]]-Table341011[[#This Row],[  75-79]]</f>
        <v>-12</v>
      </c>
      <c r="R50" s="5">
        <f>Table34101112131814[[#This Row],[  80-84]]-Table341011[[#This Row],[  80-84]]</f>
        <v>142</v>
      </c>
      <c r="S50" s="5">
        <f>Table34101112131814[[#This Row],[  85-89]]-Table341011[[#This Row],[  85-89]]</f>
        <v>115</v>
      </c>
      <c r="T50" s="5">
        <f>Table34101112131814[[#This Row],[  90+]]-Table341011[[#This Row],[  90+]]</f>
        <v>151</v>
      </c>
    </row>
    <row r="51" spans="1:20" x14ac:dyDescent="0.2">
      <c r="A51" s="11" t="s">
        <v>17</v>
      </c>
      <c r="B51" s="6" t="s">
        <v>0</v>
      </c>
      <c r="C51" s="5">
        <f>Table34101112131814[[#This Row],[Total]]-Table341011[[#This Row],[Total]]</f>
        <v>38632</v>
      </c>
      <c r="D51" s="5">
        <f>Table34101112131814[[#This Row],[  5-11]]-Table341011[[#This Row],[  5-11]]</f>
        <v>17893</v>
      </c>
      <c r="E51" s="5">
        <f>Table34101112131814[[#This Row],[  12-17]]-Table341011[[#This Row],[  12-17]]</f>
        <v>4127</v>
      </c>
      <c r="F51" s="5">
        <f>Table34101112131814[[#This Row],[  18-24]]-Table341011[[#This Row],[  18-24]]</f>
        <v>2594</v>
      </c>
      <c r="G51" s="5">
        <f>Table34101112131814[[#This Row],[  25-29 ]]-Table341011[[#This Row],[  25-29 ]]</f>
        <v>2644</v>
      </c>
      <c r="H51" s="5">
        <f>Table34101112131814[[#This Row],[  30-34]]-Table341011[[#This Row],[  30-34]]</f>
        <v>1912</v>
      </c>
      <c r="I51" s="5">
        <f>Table34101112131814[[#This Row],[  35-39]]-Table341011[[#This Row],[  35-39]]</f>
        <v>1479</v>
      </c>
      <c r="J51" s="5">
        <f>Table34101112131814[[#This Row],[  40-44]]-Table341011[[#This Row],[  40-44]]</f>
        <v>1447</v>
      </c>
      <c r="K51" s="5">
        <f>Table34101112131814[[#This Row],[  45-49 ]]-Table341011[[#This Row],[  45-49 ]]</f>
        <v>1589</v>
      </c>
      <c r="L51" s="5">
        <f>Table34101112131814[[#This Row],[  50-54]]-Table341011[[#This Row],[  50-54]]</f>
        <v>1333</v>
      </c>
      <c r="M51" s="5">
        <f>Table34101112131814[[#This Row],[  55-59]]-Table341011[[#This Row],[  55-59]]</f>
        <v>1274</v>
      </c>
      <c r="N51" s="5">
        <f>Table34101112131814[[#This Row],[  60-64]]-Table341011[[#This Row],[  60-64]]</f>
        <v>901</v>
      </c>
      <c r="O51" s="5">
        <f>Table34101112131814[[#This Row],[  65-69]]-Table341011[[#This Row],[  65-69]]</f>
        <v>709</v>
      </c>
      <c r="P51" s="5">
        <f>Table34101112131814[[#This Row],[  70-74]]-Table341011[[#This Row],[  70-74]]</f>
        <v>667</v>
      </c>
      <c r="Q51" s="5">
        <f>Table34101112131814[[#This Row],[  75-79]]-Table341011[[#This Row],[  75-79]]</f>
        <v>-118</v>
      </c>
      <c r="R51" s="5">
        <f>Table34101112131814[[#This Row],[  80-84]]-Table341011[[#This Row],[  80-84]]</f>
        <v>68</v>
      </c>
      <c r="S51" s="5">
        <f>Table34101112131814[[#This Row],[  85-89]]-Table341011[[#This Row],[  85-89]]</f>
        <v>71</v>
      </c>
      <c r="T51" s="5">
        <f>Table34101112131814[[#This Row],[  90+]]-Table341011[[#This Row],[  90+]]</f>
        <v>42</v>
      </c>
    </row>
    <row r="52" spans="1:20" x14ac:dyDescent="0.2">
      <c r="A52" s="11" t="s">
        <v>17</v>
      </c>
      <c r="B52" s="6" t="s">
        <v>23</v>
      </c>
      <c r="C52" s="5">
        <f>Table34101112131814[[#This Row],[Total]]-Table341011[[#This Row],[Total]]</f>
        <v>37313</v>
      </c>
      <c r="D52" s="5">
        <f>Table34101112131814[[#This Row],[  5-11]]-Table341011[[#This Row],[  5-11]]</f>
        <v>16611</v>
      </c>
      <c r="E52" s="5">
        <f>Table34101112131814[[#This Row],[  12-17]]-Table341011[[#This Row],[  12-17]]</f>
        <v>3876</v>
      </c>
      <c r="F52" s="5">
        <f>Table34101112131814[[#This Row],[  18-24]]-Table341011[[#This Row],[  18-24]]</f>
        <v>2412</v>
      </c>
      <c r="G52" s="5">
        <f>Table34101112131814[[#This Row],[  25-29 ]]-Table341011[[#This Row],[  25-29 ]]</f>
        <v>2551</v>
      </c>
      <c r="H52" s="5">
        <f>Table34101112131814[[#This Row],[  30-34]]-Table341011[[#This Row],[  30-34]]</f>
        <v>2049</v>
      </c>
      <c r="I52" s="5">
        <f>Table34101112131814[[#This Row],[  35-39]]-Table341011[[#This Row],[  35-39]]</f>
        <v>1584</v>
      </c>
      <c r="J52" s="5">
        <f>Table34101112131814[[#This Row],[  40-44]]-Table341011[[#This Row],[  40-44]]</f>
        <v>1321</v>
      </c>
      <c r="K52" s="5">
        <f>Table34101112131814[[#This Row],[  45-49 ]]-Table341011[[#This Row],[  45-49 ]]</f>
        <v>1640</v>
      </c>
      <c r="L52" s="5">
        <f>Table34101112131814[[#This Row],[  50-54]]-Table341011[[#This Row],[  50-54]]</f>
        <v>1378</v>
      </c>
      <c r="M52" s="5">
        <f>Table34101112131814[[#This Row],[  55-59]]-Table341011[[#This Row],[  55-59]]</f>
        <v>1395</v>
      </c>
      <c r="N52" s="5">
        <f>Table34101112131814[[#This Row],[  60-64]]-Table341011[[#This Row],[  60-64]]</f>
        <v>958</v>
      </c>
      <c r="O52" s="5">
        <f>Table34101112131814[[#This Row],[  65-69]]-Table341011[[#This Row],[  65-69]]</f>
        <v>679</v>
      </c>
      <c r="P52" s="5">
        <f>Table34101112131814[[#This Row],[  70-74]]-Table341011[[#This Row],[  70-74]]</f>
        <v>526</v>
      </c>
      <c r="Q52" s="5">
        <f>Table34101112131814[[#This Row],[  75-79]]-Table341011[[#This Row],[  75-79]]</f>
        <v>106</v>
      </c>
      <c r="R52" s="5">
        <f>Table34101112131814[[#This Row],[  80-84]]-Table341011[[#This Row],[  80-84]]</f>
        <v>74</v>
      </c>
      <c r="S52" s="5">
        <f>Table34101112131814[[#This Row],[  85-89]]-Table341011[[#This Row],[  85-89]]</f>
        <v>44</v>
      </c>
      <c r="T52" s="5">
        <f>Table34101112131814[[#This Row],[  90+]]-Table341011[[#This Row],[  90+]]</f>
        <v>109</v>
      </c>
    </row>
    <row r="53" spans="1:20" x14ac:dyDescent="0.2">
      <c r="A53" s="9" t="s">
        <v>18</v>
      </c>
      <c r="B53" s="6" t="s">
        <v>22</v>
      </c>
      <c r="C53" s="5">
        <f>Table34101112131814[[#This Row],[Total]]-Table341011[[#This Row],[Total]]</f>
        <v>7158</v>
      </c>
      <c r="D53" s="5">
        <f>Table34101112131814[[#This Row],[  5-11]]-Table341011[[#This Row],[  5-11]]</f>
        <v>3290</v>
      </c>
      <c r="E53" s="5">
        <f>Table34101112131814[[#This Row],[  12-17]]-Table341011[[#This Row],[  12-17]]</f>
        <v>763</v>
      </c>
      <c r="F53" s="5">
        <f>Table34101112131814[[#This Row],[  18-24]]-Table341011[[#This Row],[  18-24]]</f>
        <v>408</v>
      </c>
      <c r="G53" s="5">
        <f>Table34101112131814[[#This Row],[  25-29 ]]-Table341011[[#This Row],[  25-29 ]]</f>
        <v>441</v>
      </c>
      <c r="H53" s="5">
        <f>Table34101112131814[[#This Row],[  30-34]]-Table341011[[#This Row],[  30-34]]</f>
        <v>317</v>
      </c>
      <c r="I53" s="5">
        <f>Table34101112131814[[#This Row],[  35-39]]-Table341011[[#This Row],[  35-39]]</f>
        <v>268</v>
      </c>
      <c r="J53" s="5">
        <f>Table34101112131814[[#This Row],[  40-44]]-Table341011[[#This Row],[  40-44]]</f>
        <v>271</v>
      </c>
      <c r="K53" s="5">
        <f>Table34101112131814[[#This Row],[  45-49 ]]-Table341011[[#This Row],[  45-49 ]]</f>
        <v>339</v>
      </c>
      <c r="L53" s="5">
        <f>Table34101112131814[[#This Row],[  50-54]]-Table341011[[#This Row],[  50-54]]</f>
        <v>250</v>
      </c>
      <c r="M53" s="5">
        <f>Table34101112131814[[#This Row],[  55-59]]-Table341011[[#This Row],[  55-59]]</f>
        <v>274</v>
      </c>
      <c r="N53" s="5">
        <f>Table34101112131814[[#This Row],[  60-64]]-Table341011[[#This Row],[  60-64]]</f>
        <v>239</v>
      </c>
      <c r="O53" s="5">
        <f>Table34101112131814[[#This Row],[  65-69]]-Table341011[[#This Row],[  65-69]]</f>
        <v>115</v>
      </c>
      <c r="P53" s="5">
        <f>Table34101112131814[[#This Row],[  70-74]]-Table341011[[#This Row],[  70-74]]</f>
        <v>133</v>
      </c>
      <c r="Q53" s="5">
        <f>Table34101112131814[[#This Row],[  75-79]]-Table341011[[#This Row],[  75-79]]</f>
        <v>17</v>
      </c>
      <c r="R53" s="5">
        <f>Table34101112131814[[#This Row],[  80-84]]-Table341011[[#This Row],[  80-84]]</f>
        <v>-14</v>
      </c>
      <c r="S53" s="5">
        <f>Table34101112131814[[#This Row],[  85-89]]-Table341011[[#This Row],[  85-89]]</f>
        <v>12</v>
      </c>
      <c r="T53" s="5">
        <f>Table34101112131814[[#This Row],[  90+]]-Table341011[[#This Row],[  90+]]</f>
        <v>35</v>
      </c>
    </row>
    <row r="54" spans="1:20" x14ac:dyDescent="0.2">
      <c r="A54" s="9" t="s">
        <v>18</v>
      </c>
      <c r="B54" s="6" t="s">
        <v>0</v>
      </c>
      <c r="C54" s="5">
        <f>Table34101112131814[[#This Row],[Total]]-Table341011[[#This Row],[Total]]</f>
        <v>3683</v>
      </c>
      <c r="D54" s="5">
        <f>Table34101112131814[[#This Row],[  5-11]]-Table341011[[#This Row],[  5-11]]</f>
        <v>1701</v>
      </c>
      <c r="E54" s="5">
        <f>Table34101112131814[[#This Row],[  12-17]]-Table341011[[#This Row],[  12-17]]</f>
        <v>412</v>
      </c>
      <c r="F54" s="5">
        <f>Table34101112131814[[#This Row],[  18-24]]-Table341011[[#This Row],[  18-24]]</f>
        <v>189</v>
      </c>
      <c r="G54" s="5">
        <f>Table34101112131814[[#This Row],[  25-29 ]]-Table341011[[#This Row],[  25-29 ]]</f>
        <v>220</v>
      </c>
      <c r="H54" s="5">
        <f>Table34101112131814[[#This Row],[  30-34]]-Table341011[[#This Row],[  30-34]]</f>
        <v>203</v>
      </c>
      <c r="I54" s="5">
        <f>Table34101112131814[[#This Row],[  35-39]]-Table341011[[#This Row],[  35-39]]</f>
        <v>141</v>
      </c>
      <c r="J54" s="5">
        <f>Table34101112131814[[#This Row],[  40-44]]-Table341011[[#This Row],[  40-44]]</f>
        <v>167</v>
      </c>
      <c r="K54" s="5">
        <f>Table34101112131814[[#This Row],[  45-49 ]]-Table341011[[#This Row],[  45-49 ]]</f>
        <v>160</v>
      </c>
      <c r="L54" s="5">
        <f>Table34101112131814[[#This Row],[  50-54]]-Table341011[[#This Row],[  50-54]]</f>
        <v>125</v>
      </c>
      <c r="M54" s="5">
        <f>Table34101112131814[[#This Row],[  55-59]]-Table341011[[#This Row],[  55-59]]</f>
        <v>132</v>
      </c>
      <c r="N54" s="5">
        <f>Table34101112131814[[#This Row],[  60-64]]-Table341011[[#This Row],[  60-64]]</f>
        <v>121</v>
      </c>
      <c r="O54" s="5">
        <f>Table34101112131814[[#This Row],[  65-69]]-Table341011[[#This Row],[  65-69]]</f>
        <v>45</v>
      </c>
      <c r="P54" s="5">
        <f>Table34101112131814[[#This Row],[  70-74]]-Table341011[[#This Row],[  70-74]]</f>
        <v>56</v>
      </c>
      <c r="Q54" s="5">
        <f>Table34101112131814[[#This Row],[  75-79]]-Table341011[[#This Row],[  75-79]]</f>
        <v>24</v>
      </c>
      <c r="R54" s="5">
        <f>Table34101112131814[[#This Row],[  80-84]]-Table341011[[#This Row],[  80-84]]</f>
        <v>-20</v>
      </c>
      <c r="S54" s="5">
        <f>Table34101112131814[[#This Row],[  85-89]]-Table341011[[#This Row],[  85-89]]</f>
        <v>19</v>
      </c>
      <c r="T54" s="5">
        <f>Table34101112131814[[#This Row],[  90+]]-Table341011[[#This Row],[  90+]]</f>
        <v>-12</v>
      </c>
    </row>
    <row r="55" spans="1:20" x14ac:dyDescent="0.2">
      <c r="A55" s="9" t="s">
        <v>18</v>
      </c>
      <c r="B55" s="6" t="s">
        <v>23</v>
      </c>
      <c r="C55" s="5">
        <f>Table34101112131814[[#This Row],[Total]]-Table341011[[#This Row],[Total]]</f>
        <v>3475</v>
      </c>
      <c r="D55" s="5">
        <f>Table34101112131814[[#This Row],[  5-11]]-Table341011[[#This Row],[  5-11]]</f>
        <v>1589</v>
      </c>
      <c r="E55" s="5">
        <f>Table34101112131814[[#This Row],[  12-17]]-Table341011[[#This Row],[  12-17]]</f>
        <v>351</v>
      </c>
      <c r="F55" s="5">
        <f>Table34101112131814[[#This Row],[  18-24]]-Table341011[[#This Row],[  18-24]]</f>
        <v>219</v>
      </c>
      <c r="G55" s="5">
        <f>Table34101112131814[[#This Row],[  25-29 ]]-Table341011[[#This Row],[  25-29 ]]</f>
        <v>221</v>
      </c>
      <c r="H55" s="5">
        <f>Table34101112131814[[#This Row],[  30-34]]-Table341011[[#This Row],[  30-34]]</f>
        <v>114</v>
      </c>
      <c r="I55" s="5">
        <f>Table34101112131814[[#This Row],[  35-39]]-Table341011[[#This Row],[  35-39]]</f>
        <v>127</v>
      </c>
      <c r="J55" s="5">
        <f>Table34101112131814[[#This Row],[  40-44]]-Table341011[[#This Row],[  40-44]]</f>
        <v>104</v>
      </c>
      <c r="K55" s="5">
        <f>Table34101112131814[[#This Row],[  45-49 ]]-Table341011[[#This Row],[  45-49 ]]</f>
        <v>179</v>
      </c>
      <c r="L55" s="5">
        <f>Table34101112131814[[#This Row],[  50-54]]-Table341011[[#This Row],[  50-54]]</f>
        <v>125</v>
      </c>
      <c r="M55" s="5">
        <f>Table34101112131814[[#This Row],[  55-59]]-Table341011[[#This Row],[  55-59]]</f>
        <v>142</v>
      </c>
      <c r="N55" s="5">
        <f>Table34101112131814[[#This Row],[  60-64]]-Table341011[[#This Row],[  60-64]]</f>
        <v>118</v>
      </c>
      <c r="O55" s="5">
        <f>Table34101112131814[[#This Row],[  65-69]]-Table341011[[#This Row],[  65-69]]</f>
        <v>70</v>
      </c>
      <c r="P55" s="5">
        <f>Table34101112131814[[#This Row],[  70-74]]-Table341011[[#This Row],[  70-74]]</f>
        <v>77</v>
      </c>
      <c r="Q55" s="5">
        <f>Table34101112131814[[#This Row],[  75-79]]-Table341011[[#This Row],[  75-79]]</f>
        <v>-7</v>
      </c>
      <c r="R55" s="5">
        <f>Table34101112131814[[#This Row],[  80-84]]-Table341011[[#This Row],[  80-84]]</f>
        <v>6</v>
      </c>
      <c r="S55" s="5">
        <f>Table34101112131814[[#This Row],[  85-89]]-Table341011[[#This Row],[  85-89]]</f>
        <v>-7</v>
      </c>
      <c r="T55" s="5">
        <f>Table34101112131814[[#This Row],[  90+]]-Table341011[[#This Row],[  90+]]</f>
        <v>47</v>
      </c>
    </row>
    <row r="56" spans="1:20" x14ac:dyDescent="0.2">
      <c r="A56" s="9" t="s">
        <v>19</v>
      </c>
      <c r="B56" s="6" t="s">
        <v>22</v>
      </c>
      <c r="C56" s="5">
        <f>Table34101112131814[[#This Row],[Total]]-Table341011[[#This Row],[Total]]</f>
        <v>90705</v>
      </c>
      <c r="D56" s="5">
        <f>Table34101112131814[[#This Row],[  5-11]]-Table341011[[#This Row],[  5-11]]</f>
        <v>40890</v>
      </c>
      <c r="E56" s="5">
        <f>Table34101112131814[[#This Row],[  12-17]]-Table341011[[#This Row],[  12-17]]</f>
        <v>8150</v>
      </c>
      <c r="F56" s="5">
        <f>Table34101112131814[[#This Row],[  18-24]]-Table341011[[#This Row],[  18-24]]</f>
        <v>4659</v>
      </c>
      <c r="G56" s="5">
        <f>Table34101112131814[[#This Row],[  25-29 ]]-Table341011[[#This Row],[  25-29 ]]</f>
        <v>5538</v>
      </c>
      <c r="H56" s="5">
        <f>Table34101112131814[[#This Row],[  30-34]]-Table341011[[#This Row],[  30-34]]</f>
        <v>5612</v>
      </c>
      <c r="I56" s="5">
        <f>Table34101112131814[[#This Row],[  35-39]]-Table341011[[#This Row],[  35-39]]</f>
        <v>5000</v>
      </c>
      <c r="J56" s="5">
        <f>Table34101112131814[[#This Row],[  40-44]]-Table341011[[#This Row],[  40-44]]</f>
        <v>2843</v>
      </c>
      <c r="K56" s="5">
        <f>Table34101112131814[[#This Row],[  45-49 ]]-Table341011[[#This Row],[  45-49 ]]</f>
        <v>4327</v>
      </c>
      <c r="L56" s="5">
        <f>Table34101112131814[[#This Row],[  50-54]]-Table341011[[#This Row],[  50-54]]</f>
        <v>3404</v>
      </c>
      <c r="M56" s="5">
        <f>Table34101112131814[[#This Row],[  55-59]]-Table341011[[#This Row],[  55-59]]</f>
        <v>3378</v>
      </c>
      <c r="N56" s="5">
        <f>Table34101112131814[[#This Row],[  60-64]]-Table341011[[#This Row],[  60-64]]</f>
        <v>2320</v>
      </c>
      <c r="O56" s="5">
        <f>Table34101112131814[[#This Row],[  65-69]]-Table341011[[#This Row],[  65-69]]</f>
        <v>2165</v>
      </c>
      <c r="P56" s="5">
        <f>Table34101112131814[[#This Row],[  70-74]]-Table341011[[#This Row],[  70-74]]</f>
        <v>1583</v>
      </c>
      <c r="Q56" s="5">
        <f>Table34101112131814[[#This Row],[  75-79]]-Table341011[[#This Row],[  75-79]]</f>
        <v>322</v>
      </c>
      <c r="R56" s="5">
        <f>Table34101112131814[[#This Row],[  80-84]]-Table341011[[#This Row],[  80-84]]</f>
        <v>201</v>
      </c>
      <c r="S56" s="5">
        <f>Table34101112131814[[#This Row],[  85-89]]-Table341011[[#This Row],[  85-89]]</f>
        <v>118</v>
      </c>
      <c r="T56" s="5">
        <f>Table34101112131814[[#This Row],[  90+]]-Table341011[[#This Row],[  90+]]</f>
        <v>195</v>
      </c>
    </row>
    <row r="57" spans="1:20" x14ac:dyDescent="0.2">
      <c r="A57" s="10" t="s">
        <v>19</v>
      </c>
      <c r="B57" s="6" t="s">
        <v>0</v>
      </c>
      <c r="C57" s="5">
        <f>Table34101112131814[[#This Row],[Total]]-Table341011[[#This Row],[Total]]</f>
        <v>45264</v>
      </c>
      <c r="D57" s="5">
        <f>Table34101112131814[[#This Row],[  5-11]]-Table341011[[#This Row],[  5-11]]</f>
        <v>21200</v>
      </c>
      <c r="E57" s="5">
        <f>Table34101112131814[[#This Row],[  12-17]]-Table341011[[#This Row],[  12-17]]</f>
        <v>4357</v>
      </c>
      <c r="F57" s="5">
        <f>Table34101112131814[[#This Row],[  18-24]]-Table341011[[#This Row],[  18-24]]</f>
        <v>2287</v>
      </c>
      <c r="G57" s="5">
        <f>Table34101112131814[[#This Row],[  25-29 ]]-Table341011[[#This Row],[  25-29 ]]</f>
        <v>2631</v>
      </c>
      <c r="H57" s="5">
        <f>Table34101112131814[[#This Row],[  30-34]]-Table341011[[#This Row],[  30-34]]</f>
        <v>2552</v>
      </c>
      <c r="I57" s="5">
        <f>Table34101112131814[[#This Row],[  35-39]]-Table341011[[#This Row],[  35-39]]</f>
        <v>2435</v>
      </c>
      <c r="J57" s="5">
        <f>Table34101112131814[[#This Row],[  40-44]]-Table341011[[#This Row],[  40-44]]</f>
        <v>1201</v>
      </c>
      <c r="K57" s="5">
        <f>Table34101112131814[[#This Row],[  45-49 ]]-Table341011[[#This Row],[  45-49 ]]</f>
        <v>2128</v>
      </c>
      <c r="L57" s="5">
        <f>Table34101112131814[[#This Row],[  50-54]]-Table341011[[#This Row],[  50-54]]</f>
        <v>1757</v>
      </c>
      <c r="M57" s="5">
        <f>Table34101112131814[[#This Row],[  55-59]]-Table341011[[#This Row],[  55-59]]</f>
        <v>1641</v>
      </c>
      <c r="N57" s="5">
        <f>Table34101112131814[[#This Row],[  60-64]]-Table341011[[#This Row],[  60-64]]</f>
        <v>935</v>
      </c>
      <c r="O57" s="5">
        <f>Table34101112131814[[#This Row],[  65-69]]-Table341011[[#This Row],[  65-69]]</f>
        <v>1040</v>
      </c>
      <c r="P57" s="5">
        <f>Table34101112131814[[#This Row],[  70-74]]-Table341011[[#This Row],[  70-74]]</f>
        <v>769</v>
      </c>
      <c r="Q57" s="5">
        <f>Table34101112131814[[#This Row],[  75-79]]-Table341011[[#This Row],[  75-79]]</f>
        <v>182</v>
      </c>
      <c r="R57" s="5">
        <f>Table34101112131814[[#This Row],[  80-84]]-Table341011[[#This Row],[  80-84]]</f>
        <v>38</v>
      </c>
      <c r="S57" s="5">
        <f>Table34101112131814[[#This Row],[  85-89]]-Table341011[[#This Row],[  85-89]]</f>
        <v>111</v>
      </c>
      <c r="T57" s="5">
        <f>Table34101112131814[[#This Row],[  90+]]-Table341011[[#This Row],[  90+]]</f>
        <v>0</v>
      </c>
    </row>
    <row r="58" spans="1:20" x14ac:dyDescent="0.2">
      <c r="A58" s="10" t="s">
        <v>19</v>
      </c>
      <c r="B58" s="6" t="s">
        <v>23</v>
      </c>
      <c r="C58" s="5">
        <f>Table34101112131814[[#This Row],[Total]]-Table341011[[#This Row],[Total]]</f>
        <v>45441</v>
      </c>
      <c r="D58" s="5">
        <f>Table34101112131814[[#This Row],[  5-11]]-Table341011[[#This Row],[  5-11]]</f>
        <v>19690</v>
      </c>
      <c r="E58" s="5">
        <f>Table34101112131814[[#This Row],[  12-17]]-Table341011[[#This Row],[  12-17]]</f>
        <v>3793</v>
      </c>
      <c r="F58" s="5">
        <f>Table34101112131814[[#This Row],[  18-24]]-Table341011[[#This Row],[  18-24]]</f>
        <v>2372</v>
      </c>
      <c r="G58" s="5">
        <f>Table34101112131814[[#This Row],[  25-29 ]]-Table341011[[#This Row],[  25-29 ]]</f>
        <v>2907</v>
      </c>
      <c r="H58" s="5">
        <f>Table34101112131814[[#This Row],[  30-34]]-Table341011[[#This Row],[  30-34]]</f>
        <v>3060</v>
      </c>
      <c r="I58" s="5">
        <f>Table34101112131814[[#This Row],[  35-39]]-Table341011[[#This Row],[  35-39]]</f>
        <v>2565</v>
      </c>
      <c r="J58" s="5">
        <f>Table34101112131814[[#This Row],[  40-44]]-Table341011[[#This Row],[  40-44]]</f>
        <v>1642</v>
      </c>
      <c r="K58" s="5">
        <f>Table34101112131814[[#This Row],[  45-49 ]]-Table341011[[#This Row],[  45-49 ]]</f>
        <v>2199</v>
      </c>
      <c r="L58" s="5">
        <f>Table34101112131814[[#This Row],[  50-54]]-Table341011[[#This Row],[  50-54]]</f>
        <v>1647</v>
      </c>
      <c r="M58" s="5">
        <f>Table34101112131814[[#This Row],[  55-59]]-Table341011[[#This Row],[  55-59]]</f>
        <v>1737</v>
      </c>
      <c r="N58" s="5">
        <f>Table34101112131814[[#This Row],[  60-64]]-Table341011[[#This Row],[  60-64]]</f>
        <v>1385</v>
      </c>
      <c r="O58" s="5">
        <f>Table34101112131814[[#This Row],[  65-69]]-Table341011[[#This Row],[  65-69]]</f>
        <v>1125</v>
      </c>
      <c r="P58" s="5">
        <f>Table34101112131814[[#This Row],[  70-74]]-Table341011[[#This Row],[  70-74]]</f>
        <v>814</v>
      </c>
      <c r="Q58" s="5">
        <f>Table34101112131814[[#This Row],[  75-79]]-Table341011[[#This Row],[  75-79]]</f>
        <v>140</v>
      </c>
      <c r="R58" s="5">
        <f>Table34101112131814[[#This Row],[  80-84]]-Table341011[[#This Row],[  80-84]]</f>
        <v>163</v>
      </c>
      <c r="S58" s="5">
        <f>Table34101112131814[[#This Row],[  85-89]]-Table341011[[#This Row],[  85-89]]</f>
        <v>7</v>
      </c>
      <c r="T58" s="5">
        <f>Table34101112131814[[#This Row],[  90+]]-Table341011[[#This Row],[  90+]]</f>
        <v>195</v>
      </c>
    </row>
    <row r="59" spans="1:20" x14ac:dyDescent="0.2">
      <c r="A59" s="9" t="s">
        <v>20</v>
      </c>
      <c r="B59" s="6" t="s">
        <v>22</v>
      </c>
      <c r="C59" s="5">
        <f>Table34101112131814[[#This Row],[Total]]-Table341011[[#This Row],[Total]]</f>
        <v>5391</v>
      </c>
      <c r="D59" s="5">
        <f>Table34101112131814[[#This Row],[  5-11]]-Table341011[[#This Row],[  5-11]]</f>
        <v>2004</v>
      </c>
      <c r="E59" s="5">
        <f>Table34101112131814[[#This Row],[  12-17]]-Table341011[[#This Row],[  12-17]]</f>
        <v>513</v>
      </c>
      <c r="F59" s="5">
        <f>Table34101112131814[[#This Row],[  18-24]]-Table341011[[#This Row],[  18-24]]</f>
        <v>161</v>
      </c>
      <c r="G59" s="5">
        <f>Table34101112131814[[#This Row],[  25-29 ]]-Table341011[[#This Row],[  25-29 ]]</f>
        <v>387</v>
      </c>
      <c r="H59" s="5">
        <f>Table34101112131814[[#This Row],[  30-34]]-Table341011[[#This Row],[  30-34]]</f>
        <v>338</v>
      </c>
      <c r="I59" s="5">
        <f>Table34101112131814[[#This Row],[  35-39]]-Table341011[[#This Row],[  35-39]]</f>
        <v>268</v>
      </c>
      <c r="J59" s="5">
        <f>Table34101112131814[[#This Row],[  40-44]]-Table341011[[#This Row],[  40-44]]</f>
        <v>246</v>
      </c>
      <c r="K59" s="5">
        <f>Table34101112131814[[#This Row],[  45-49 ]]-Table341011[[#This Row],[  45-49 ]]</f>
        <v>364</v>
      </c>
      <c r="L59" s="5">
        <f>Table34101112131814[[#This Row],[  50-54]]-Table341011[[#This Row],[  50-54]]</f>
        <v>252</v>
      </c>
      <c r="M59" s="5">
        <f>Table34101112131814[[#This Row],[  55-59]]-Table341011[[#This Row],[  55-59]]</f>
        <v>348</v>
      </c>
      <c r="N59" s="5">
        <f>Table34101112131814[[#This Row],[  60-64]]-Table341011[[#This Row],[  60-64]]</f>
        <v>185</v>
      </c>
      <c r="O59" s="5">
        <f>Table34101112131814[[#This Row],[  65-69]]-Table341011[[#This Row],[  65-69]]</f>
        <v>215</v>
      </c>
      <c r="P59" s="5">
        <f>Table34101112131814[[#This Row],[  70-74]]-Table341011[[#This Row],[  70-74]]</f>
        <v>46</v>
      </c>
      <c r="Q59" s="5">
        <f>Table34101112131814[[#This Row],[  75-79]]-Table341011[[#This Row],[  75-79]]</f>
        <v>13</v>
      </c>
      <c r="R59" s="5">
        <f>Table34101112131814[[#This Row],[  80-84]]-Table341011[[#This Row],[  80-84]]</f>
        <v>37</v>
      </c>
      <c r="S59" s="5">
        <f>Table34101112131814[[#This Row],[  85-89]]-Table341011[[#This Row],[  85-89]]</f>
        <v>0</v>
      </c>
      <c r="T59" s="5">
        <f>Table34101112131814[[#This Row],[  90+]]-Table341011[[#This Row],[  90+]]</f>
        <v>14</v>
      </c>
    </row>
    <row r="60" spans="1:20" x14ac:dyDescent="0.2">
      <c r="A60" s="9" t="s">
        <v>20</v>
      </c>
      <c r="B60" s="6" t="s">
        <v>0</v>
      </c>
      <c r="C60" s="5">
        <f>Table34101112131814[[#This Row],[Total]]-Table341011[[#This Row],[Total]]</f>
        <v>2926</v>
      </c>
      <c r="D60" s="5">
        <f>Table34101112131814[[#This Row],[  5-11]]-Table341011[[#This Row],[  5-11]]</f>
        <v>1048</v>
      </c>
      <c r="E60" s="5">
        <f>Table34101112131814[[#This Row],[  12-17]]-Table341011[[#This Row],[  12-17]]</f>
        <v>317</v>
      </c>
      <c r="F60" s="5">
        <f>Table34101112131814[[#This Row],[  18-24]]-Table341011[[#This Row],[  18-24]]</f>
        <v>66</v>
      </c>
      <c r="G60" s="5">
        <f>Table34101112131814[[#This Row],[  25-29 ]]-Table341011[[#This Row],[  25-29 ]]</f>
        <v>183</v>
      </c>
      <c r="H60" s="5">
        <f>Table34101112131814[[#This Row],[  30-34]]-Table341011[[#This Row],[  30-34]]</f>
        <v>185</v>
      </c>
      <c r="I60" s="5">
        <f>Table34101112131814[[#This Row],[  35-39]]-Table341011[[#This Row],[  35-39]]</f>
        <v>136</v>
      </c>
      <c r="J60" s="5">
        <f>Table34101112131814[[#This Row],[  40-44]]-Table341011[[#This Row],[  40-44]]</f>
        <v>149</v>
      </c>
      <c r="K60" s="5">
        <f>Table34101112131814[[#This Row],[  45-49 ]]-Table341011[[#This Row],[  45-49 ]]</f>
        <v>177</v>
      </c>
      <c r="L60" s="5">
        <f>Table34101112131814[[#This Row],[  50-54]]-Table341011[[#This Row],[  50-54]]</f>
        <v>132</v>
      </c>
      <c r="M60" s="5">
        <f>Table34101112131814[[#This Row],[  55-59]]-Table341011[[#This Row],[  55-59]]</f>
        <v>218</v>
      </c>
      <c r="N60" s="5">
        <f>Table34101112131814[[#This Row],[  60-64]]-Table341011[[#This Row],[  60-64]]</f>
        <v>121</v>
      </c>
      <c r="O60" s="5">
        <f>Table34101112131814[[#This Row],[  65-69]]-Table341011[[#This Row],[  65-69]]</f>
        <v>129</v>
      </c>
      <c r="P60" s="5">
        <f>Table34101112131814[[#This Row],[  70-74]]-Table341011[[#This Row],[  70-74]]</f>
        <v>28</v>
      </c>
      <c r="Q60" s="5">
        <f>Table34101112131814[[#This Row],[  75-79]]-Table341011[[#This Row],[  75-79]]</f>
        <v>15</v>
      </c>
      <c r="R60" s="5">
        <f>Table34101112131814[[#This Row],[  80-84]]-Table341011[[#This Row],[  80-84]]</f>
        <v>20</v>
      </c>
      <c r="S60" s="5">
        <f>Table34101112131814[[#This Row],[  85-89]]-Table341011[[#This Row],[  85-89]]</f>
        <v>-4</v>
      </c>
      <c r="T60" s="5">
        <f>Table34101112131814[[#This Row],[  90+]]-Table341011[[#This Row],[  90+]]</f>
        <v>6</v>
      </c>
    </row>
    <row r="61" spans="1:20" x14ac:dyDescent="0.2">
      <c r="A61" s="9" t="s">
        <v>20</v>
      </c>
      <c r="B61" s="6" t="s">
        <v>23</v>
      </c>
      <c r="C61" s="5">
        <f>Table34101112131814[[#This Row],[Total]]-Table341011[[#This Row],[Total]]</f>
        <v>2465</v>
      </c>
      <c r="D61" s="5">
        <f>Table34101112131814[[#This Row],[  5-11]]-Table341011[[#This Row],[  5-11]]</f>
        <v>956</v>
      </c>
      <c r="E61" s="5">
        <f>Table34101112131814[[#This Row],[  12-17]]-Table341011[[#This Row],[  12-17]]</f>
        <v>196</v>
      </c>
      <c r="F61" s="5">
        <f>Table34101112131814[[#This Row],[  18-24]]-Table341011[[#This Row],[  18-24]]</f>
        <v>95</v>
      </c>
      <c r="G61" s="5">
        <f>Table34101112131814[[#This Row],[  25-29 ]]-Table341011[[#This Row],[  25-29 ]]</f>
        <v>204</v>
      </c>
      <c r="H61" s="5">
        <f>Table34101112131814[[#This Row],[  30-34]]-Table341011[[#This Row],[  30-34]]</f>
        <v>153</v>
      </c>
      <c r="I61" s="5">
        <f>Table34101112131814[[#This Row],[  35-39]]-Table341011[[#This Row],[  35-39]]</f>
        <v>132</v>
      </c>
      <c r="J61" s="5">
        <f>Table34101112131814[[#This Row],[  40-44]]-Table341011[[#This Row],[  40-44]]</f>
        <v>97</v>
      </c>
      <c r="K61" s="5">
        <f>Table34101112131814[[#This Row],[  45-49 ]]-Table341011[[#This Row],[  45-49 ]]</f>
        <v>187</v>
      </c>
      <c r="L61" s="5">
        <f>Table34101112131814[[#This Row],[  50-54]]-Table341011[[#This Row],[  50-54]]</f>
        <v>120</v>
      </c>
      <c r="M61" s="5">
        <f>Table34101112131814[[#This Row],[  55-59]]-Table341011[[#This Row],[  55-59]]</f>
        <v>130</v>
      </c>
      <c r="N61" s="5">
        <f>Table34101112131814[[#This Row],[  60-64]]-Table341011[[#This Row],[  60-64]]</f>
        <v>64</v>
      </c>
      <c r="O61" s="5">
        <f>Table34101112131814[[#This Row],[  65-69]]-Table341011[[#This Row],[  65-69]]</f>
        <v>86</v>
      </c>
      <c r="P61" s="5">
        <f>Table34101112131814[[#This Row],[  70-74]]-Table341011[[#This Row],[  70-74]]</f>
        <v>18</v>
      </c>
      <c r="Q61" s="5">
        <f>Table34101112131814[[#This Row],[  75-79]]-Table341011[[#This Row],[  75-79]]</f>
        <v>-2</v>
      </c>
      <c r="R61" s="5">
        <f>Table34101112131814[[#This Row],[  80-84]]-Table341011[[#This Row],[  80-84]]</f>
        <v>17</v>
      </c>
      <c r="S61" s="5">
        <f>Table34101112131814[[#This Row],[  85-89]]-Table341011[[#This Row],[  85-89]]</f>
        <v>4</v>
      </c>
      <c r="T61" s="5">
        <f>Table34101112131814[[#This Row],[  90+]]-Table341011[[#This Row],[  90+]]</f>
        <v>8</v>
      </c>
    </row>
    <row r="62" spans="1:20" x14ac:dyDescent="0.2">
      <c r="A62" s="13" t="s">
        <v>21</v>
      </c>
      <c r="B62" s="6" t="s">
        <v>22</v>
      </c>
      <c r="C62" s="5">
        <f>Table34101112131814[[#This Row],[Total]]-Table341011[[#This Row],[Total]]</f>
        <v>12887</v>
      </c>
      <c r="D62" s="5">
        <f>Table34101112131814[[#This Row],[  5-11]]-Table341011[[#This Row],[  5-11]]</f>
        <v>5328</v>
      </c>
      <c r="E62" s="5">
        <f>Table34101112131814[[#This Row],[  12-17]]-Table341011[[#This Row],[  12-17]]</f>
        <v>1439</v>
      </c>
      <c r="F62" s="5">
        <f>Table34101112131814[[#This Row],[  18-24]]-Table341011[[#This Row],[  18-24]]</f>
        <v>936</v>
      </c>
      <c r="G62" s="5">
        <f>Table34101112131814[[#This Row],[  25-29 ]]-Table341011[[#This Row],[  25-29 ]]</f>
        <v>824</v>
      </c>
      <c r="H62" s="5">
        <f>Table34101112131814[[#This Row],[  30-34]]-Table341011[[#This Row],[  30-34]]</f>
        <v>716</v>
      </c>
      <c r="I62" s="5">
        <f>Table34101112131814[[#This Row],[  35-39]]-Table341011[[#This Row],[  35-39]]</f>
        <v>531</v>
      </c>
      <c r="J62" s="5">
        <f>Table34101112131814[[#This Row],[  40-44]]-Table341011[[#This Row],[  40-44]]</f>
        <v>486</v>
      </c>
      <c r="K62" s="5">
        <f>Table34101112131814[[#This Row],[  45-49 ]]-Table341011[[#This Row],[  45-49 ]]</f>
        <v>671</v>
      </c>
      <c r="L62" s="5">
        <f>Table34101112131814[[#This Row],[  50-54]]-Table341011[[#This Row],[  50-54]]</f>
        <v>446</v>
      </c>
      <c r="M62" s="5">
        <f>Table34101112131814[[#This Row],[  55-59]]-Table341011[[#This Row],[  55-59]]</f>
        <v>554</v>
      </c>
      <c r="N62" s="5">
        <f>Table34101112131814[[#This Row],[  60-64]]-Table341011[[#This Row],[  60-64]]</f>
        <v>372</v>
      </c>
      <c r="O62" s="5">
        <f>Table34101112131814[[#This Row],[  65-69]]-Table341011[[#This Row],[  65-69]]</f>
        <v>280</v>
      </c>
      <c r="P62" s="5">
        <f>Table34101112131814[[#This Row],[  70-74]]-Table341011[[#This Row],[  70-74]]</f>
        <v>282</v>
      </c>
      <c r="Q62" s="5">
        <f>Table34101112131814[[#This Row],[  75-79]]-Table341011[[#This Row],[  75-79]]</f>
        <v>-66</v>
      </c>
      <c r="R62" s="5">
        <f>Table34101112131814[[#This Row],[  80-84]]-Table341011[[#This Row],[  80-84]]</f>
        <v>48</v>
      </c>
      <c r="S62" s="5">
        <f>Table34101112131814[[#This Row],[  85-89]]-Table341011[[#This Row],[  85-89]]</f>
        <v>-3</v>
      </c>
      <c r="T62" s="5">
        <f>Table34101112131814[[#This Row],[  90+]]-Table341011[[#This Row],[  90+]]</f>
        <v>43</v>
      </c>
    </row>
    <row r="63" spans="1:20" x14ac:dyDescent="0.2">
      <c r="A63" s="10" t="s">
        <v>21</v>
      </c>
      <c r="B63" s="6" t="s">
        <v>0</v>
      </c>
      <c r="C63" s="5">
        <f>Table34101112131814[[#This Row],[Total]]-Table341011[[#This Row],[Total]]</f>
        <v>6447</v>
      </c>
      <c r="D63" s="5">
        <f>Table34101112131814[[#This Row],[  5-11]]-Table341011[[#This Row],[  5-11]]</f>
        <v>2745</v>
      </c>
      <c r="E63" s="5">
        <f>Table34101112131814[[#This Row],[  12-17]]-Table341011[[#This Row],[  12-17]]</f>
        <v>708</v>
      </c>
      <c r="F63" s="5">
        <f>Table34101112131814[[#This Row],[  18-24]]-Table341011[[#This Row],[  18-24]]</f>
        <v>478</v>
      </c>
      <c r="G63" s="5">
        <f>Table34101112131814[[#This Row],[  25-29 ]]-Table341011[[#This Row],[  25-29 ]]</f>
        <v>404</v>
      </c>
      <c r="H63" s="5">
        <f>Table34101112131814[[#This Row],[  30-34]]-Table341011[[#This Row],[  30-34]]</f>
        <v>336</v>
      </c>
      <c r="I63" s="5">
        <f>Table34101112131814[[#This Row],[  35-39]]-Table341011[[#This Row],[  35-39]]</f>
        <v>245</v>
      </c>
      <c r="J63" s="5">
        <f>Table34101112131814[[#This Row],[  40-44]]-Table341011[[#This Row],[  40-44]]</f>
        <v>238</v>
      </c>
      <c r="K63" s="5">
        <f>Table34101112131814[[#This Row],[  45-49 ]]-Table341011[[#This Row],[  45-49 ]]</f>
        <v>345</v>
      </c>
      <c r="L63" s="5">
        <f>Table34101112131814[[#This Row],[  50-54]]-Table341011[[#This Row],[  50-54]]</f>
        <v>199</v>
      </c>
      <c r="M63" s="5">
        <f>Table34101112131814[[#This Row],[  55-59]]-Table341011[[#This Row],[  55-59]]</f>
        <v>338</v>
      </c>
      <c r="N63" s="5">
        <f>Table34101112131814[[#This Row],[  60-64]]-Table341011[[#This Row],[  60-64]]</f>
        <v>157</v>
      </c>
      <c r="O63" s="5">
        <f>Table34101112131814[[#This Row],[  65-69]]-Table341011[[#This Row],[  65-69]]</f>
        <v>175</v>
      </c>
      <c r="P63" s="5">
        <f>Table34101112131814[[#This Row],[  70-74]]-Table341011[[#This Row],[  70-74]]</f>
        <v>104</v>
      </c>
      <c r="Q63" s="5">
        <f>Table34101112131814[[#This Row],[  75-79]]-Table341011[[#This Row],[  75-79]]</f>
        <v>-36</v>
      </c>
      <c r="R63" s="5">
        <f>Table34101112131814[[#This Row],[  80-84]]-Table341011[[#This Row],[  80-84]]</f>
        <v>2</v>
      </c>
      <c r="S63" s="5">
        <f>Table34101112131814[[#This Row],[  85-89]]-Table341011[[#This Row],[  85-89]]</f>
        <v>-3</v>
      </c>
      <c r="T63" s="5">
        <f>Table34101112131814[[#This Row],[  90+]]-Table341011[[#This Row],[  90+]]</f>
        <v>12</v>
      </c>
    </row>
    <row r="64" spans="1:20" x14ac:dyDescent="0.2">
      <c r="A64" s="10" t="s">
        <v>21</v>
      </c>
      <c r="B64" s="6" t="s">
        <v>23</v>
      </c>
      <c r="C64" s="5">
        <f>Table34101112131814[[#This Row],[Total]]-Table341011[[#This Row],[Total]]</f>
        <v>6440</v>
      </c>
      <c r="D64" s="5">
        <f>Table34101112131814[[#This Row],[  5-11]]-Table341011[[#This Row],[  5-11]]</f>
        <v>2583</v>
      </c>
      <c r="E64" s="5">
        <f>Table34101112131814[[#This Row],[  12-17]]-Table341011[[#This Row],[  12-17]]</f>
        <v>731</v>
      </c>
      <c r="F64" s="5">
        <f>Table34101112131814[[#This Row],[  18-24]]-Table341011[[#This Row],[  18-24]]</f>
        <v>458</v>
      </c>
      <c r="G64" s="5">
        <f>Table34101112131814[[#This Row],[  25-29 ]]-Table341011[[#This Row],[  25-29 ]]</f>
        <v>420</v>
      </c>
      <c r="H64" s="5">
        <f>Table34101112131814[[#This Row],[  30-34]]-Table341011[[#This Row],[  30-34]]</f>
        <v>380</v>
      </c>
      <c r="I64" s="5">
        <f>Table34101112131814[[#This Row],[  35-39]]-Table341011[[#This Row],[  35-39]]</f>
        <v>286</v>
      </c>
      <c r="J64" s="5">
        <f>Table34101112131814[[#This Row],[  40-44]]-Table341011[[#This Row],[  40-44]]</f>
        <v>248</v>
      </c>
      <c r="K64" s="5">
        <f>Table34101112131814[[#This Row],[  45-49 ]]-Table341011[[#This Row],[  45-49 ]]</f>
        <v>326</v>
      </c>
      <c r="L64" s="5">
        <f>Table34101112131814[[#This Row],[  50-54]]-Table341011[[#This Row],[  50-54]]</f>
        <v>247</v>
      </c>
      <c r="M64" s="5">
        <f>Table34101112131814[[#This Row],[  55-59]]-Table341011[[#This Row],[  55-59]]</f>
        <v>216</v>
      </c>
      <c r="N64" s="5">
        <f>Table34101112131814[[#This Row],[  60-64]]-Table341011[[#This Row],[  60-64]]</f>
        <v>215</v>
      </c>
      <c r="O64" s="5">
        <f>Table34101112131814[[#This Row],[  65-69]]-Table341011[[#This Row],[  65-69]]</f>
        <v>105</v>
      </c>
      <c r="P64" s="5">
        <f>Table34101112131814[[#This Row],[  70-74]]-Table341011[[#This Row],[  70-74]]</f>
        <v>178</v>
      </c>
      <c r="Q64" s="5">
        <f>Table34101112131814[[#This Row],[  75-79]]-Table341011[[#This Row],[  75-79]]</f>
        <v>-30</v>
      </c>
      <c r="R64" s="5">
        <f>Table34101112131814[[#This Row],[  80-84]]-Table341011[[#This Row],[  80-84]]</f>
        <v>46</v>
      </c>
      <c r="S64" s="5">
        <f>Table34101112131814[[#This Row],[  85-89]]-Table341011[[#This Row],[  85-89]]</f>
        <v>0</v>
      </c>
      <c r="T64" s="5">
        <f>Table34101112131814[[#This Row],[  90+]]-Table341011[[#This Row],[  90+]]</f>
        <v>31</v>
      </c>
    </row>
    <row r="65" spans="1:20" x14ac:dyDescent="0.2">
      <c r="A65" s="13" t="s">
        <v>22</v>
      </c>
      <c r="B65" s="6" t="s">
        <v>22</v>
      </c>
      <c r="C65" s="5">
        <f>Table34101112131814[[#This Row],[Total]]-Table341011[[#This Row],[Total]]</f>
        <v>772417</v>
      </c>
      <c r="D65" s="5">
        <f>Table34101112131814[[#This Row],[  5-11]]-Table341011[[#This Row],[  5-11]]</f>
        <v>336996</v>
      </c>
      <c r="E65" s="5">
        <f>Table34101112131814[[#This Row],[  12-17]]-Table341011[[#This Row],[  12-17]]</f>
        <v>76343</v>
      </c>
      <c r="F65" s="5">
        <f>Table34101112131814[[#This Row],[  18-24]]-Table341011[[#This Row],[  18-24]]</f>
        <v>46280</v>
      </c>
      <c r="G65" s="5">
        <f>Table34101112131814[[#This Row],[  25-29 ]]-Table341011[[#This Row],[  25-29 ]]</f>
        <v>55334</v>
      </c>
      <c r="H65" s="5">
        <f>Table34101112131814[[#This Row],[  30-34]]-Table341011[[#This Row],[  30-34]]</f>
        <v>48208</v>
      </c>
      <c r="I65" s="5">
        <f>Table34101112131814[[#This Row],[  35-39]]-Table341011[[#This Row],[  35-39]]</f>
        <v>36052</v>
      </c>
      <c r="J65" s="5">
        <f>Table34101112131814[[#This Row],[  40-44]]-Table341011[[#This Row],[  40-44]]</f>
        <v>28642</v>
      </c>
      <c r="K65" s="5">
        <f>Table34101112131814[[#This Row],[  45-49 ]]-Table341011[[#This Row],[  45-49 ]]</f>
        <v>36399</v>
      </c>
      <c r="L65" s="5">
        <f>Table34101112131814[[#This Row],[  50-54]]-Table341011[[#This Row],[  50-54]]</f>
        <v>27947</v>
      </c>
      <c r="M65" s="5">
        <f>Table34101112131814[[#This Row],[  55-59]]-Table341011[[#This Row],[  55-59]]</f>
        <v>30741</v>
      </c>
      <c r="N65" s="5">
        <f>Table34101112131814[[#This Row],[  60-64]]-Table341011[[#This Row],[  60-64]]</f>
        <v>18462</v>
      </c>
      <c r="O65" s="5">
        <f>Table34101112131814[[#This Row],[  65-69]]-Table341011[[#This Row],[  65-69]]</f>
        <v>14351</v>
      </c>
      <c r="P65" s="5">
        <f>Table34101112131814[[#This Row],[  70-74]]-Table341011[[#This Row],[  70-74]]</f>
        <v>12493</v>
      </c>
      <c r="Q65" s="5">
        <f>Table34101112131814[[#This Row],[  75-79]]-Table341011[[#This Row],[  75-79]]</f>
        <v>-404</v>
      </c>
      <c r="R65" s="5">
        <f>Table34101112131814[[#This Row],[  80-84]]-Table341011[[#This Row],[  80-84]]</f>
        <v>1534</v>
      </c>
      <c r="S65" s="5">
        <f>Table34101112131814[[#This Row],[  85-89]]-Table341011[[#This Row],[  85-89]]</f>
        <v>1249</v>
      </c>
      <c r="T65" s="5">
        <f>Table34101112131814[[#This Row],[  90+]]-Table341011[[#This Row],[  90+]]</f>
        <v>1790</v>
      </c>
    </row>
    <row r="66" spans="1:20" x14ac:dyDescent="0.2">
      <c r="A66" s="10" t="s">
        <v>22</v>
      </c>
      <c r="B66" s="6" t="s">
        <v>0</v>
      </c>
      <c r="C66" s="5">
        <f>Table34101112131814[[#This Row],[Total]]-Table341011[[#This Row],[Total]]</f>
        <v>393543</v>
      </c>
      <c r="D66" s="5">
        <f>Table34101112131814[[#This Row],[  5-11]]-Table341011[[#This Row],[  5-11]]</f>
        <v>173963</v>
      </c>
      <c r="E66" s="5">
        <f>Table34101112131814[[#This Row],[  12-17]]-Table341011[[#This Row],[  12-17]]</f>
        <v>40362</v>
      </c>
      <c r="F66" s="5">
        <f>Table34101112131814[[#This Row],[  18-24]]-Table341011[[#This Row],[  18-24]]</f>
        <v>24419</v>
      </c>
      <c r="G66" s="5">
        <f>Table34101112131814[[#This Row],[  25-29 ]]-Table341011[[#This Row],[  25-29 ]]</f>
        <v>27612</v>
      </c>
      <c r="H66" s="5">
        <f>Table34101112131814[[#This Row],[  30-34]]-Table341011[[#This Row],[  30-34]]</f>
        <v>23469</v>
      </c>
      <c r="I66" s="5">
        <f>Table34101112131814[[#This Row],[  35-39]]-Table341011[[#This Row],[  35-39]]</f>
        <v>17748</v>
      </c>
      <c r="J66" s="5">
        <f>Table34101112131814[[#This Row],[  40-44]]-Table341011[[#This Row],[  40-44]]</f>
        <v>14512</v>
      </c>
      <c r="K66" s="5">
        <f>Table34101112131814[[#This Row],[  45-49 ]]-Table341011[[#This Row],[  45-49 ]]</f>
        <v>18388</v>
      </c>
      <c r="L66" s="5">
        <f>Table34101112131814[[#This Row],[  50-54]]-Table341011[[#This Row],[  50-54]]</f>
        <v>14290</v>
      </c>
      <c r="M66" s="5">
        <f>Table34101112131814[[#This Row],[  55-59]]-Table341011[[#This Row],[  55-59]]</f>
        <v>15511</v>
      </c>
      <c r="N66" s="5">
        <f>Table34101112131814[[#This Row],[  60-64]]-Table341011[[#This Row],[  60-64]]</f>
        <v>9068</v>
      </c>
      <c r="O66" s="5">
        <f>Table34101112131814[[#This Row],[  65-69]]-Table341011[[#This Row],[  65-69]]</f>
        <v>7051</v>
      </c>
      <c r="P66" s="5">
        <f>Table34101112131814[[#This Row],[  70-74]]-Table341011[[#This Row],[  70-74]]</f>
        <v>6165</v>
      </c>
      <c r="Q66" s="5">
        <f>Table34101112131814[[#This Row],[  75-79]]-Table341011[[#This Row],[  75-79]]</f>
        <v>-281</v>
      </c>
      <c r="R66" s="5">
        <f>Table34101112131814[[#This Row],[  80-84]]-Table341011[[#This Row],[  80-84]]</f>
        <v>353</v>
      </c>
      <c r="S66" s="5">
        <f>Table34101112131814[[#This Row],[  85-89]]-Table341011[[#This Row],[  85-89]]</f>
        <v>503</v>
      </c>
      <c r="T66" s="5">
        <f>Table34101112131814[[#This Row],[  90+]]-Table341011[[#This Row],[  90+]]</f>
        <v>410</v>
      </c>
    </row>
    <row r="67" spans="1:20" x14ac:dyDescent="0.2">
      <c r="A67" s="10" t="s">
        <v>22</v>
      </c>
      <c r="B67" s="6" t="s">
        <v>23</v>
      </c>
      <c r="C67" s="5">
        <f>Table34101112131814[[#This Row],[Total]]-Table341011[[#This Row],[Total]]</f>
        <v>378874</v>
      </c>
      <c r="D67" s="5">
        <f>Table34101112131814[[#This Row],[  5-11]]-Table341011[[#This Row],[  5-11]]</f>
        <v>163033</v>
      </c>
      <c r="E67" s="5">
        <f>Table34101112131814[[#This Row],[  12-17]]-Table341011[[#This Row],[  12-17]]</f>
        <v>35981</v>
      </c>
      <c r="F67" s="5">
        <f>Table34101112131814[[#This Row],[  18-24]]-Table341011[[#This Row],[  18-24]]</f>
        <v>21861</v>
      </c>
      <c r="G67" s="5">
        <f>Table34101112131814[[#This Row],[  25-29 ]]-Table341011[[#This Row],[  25-29 ]]</f>
        <v>27722</v>
      </c>
      <c r="H67" s="5">
        <f>Table34101112131814[[#This Row],[  30-34]]-Table341011[[#This Row],[  30-34]]</f>
        <v>24739</v>
      </c>
      <c r="I67" s="5">
        <f>Table34101112131814[[#This Row],[  35-39]]-Table341011[[#This Row],[  35-39]]</f>
        <v>18304</v>
      </c>
      <c r="J67" s="5">
        <f>Table34101112131814[[#This Row],[  40-44]]-Table341011[[#This Row],[  40-44]]</f>
        <v>14130</v>
      </c>
      <c r="K67" s="5">
        <f>Table34101112131814[[#This Row],[  45-49 ]]-Table341011[[#This Row],[  45-49 ]]</f>
        <v>18011</v>
      </c>
      <c r="L67" s="5">
        <f>Table34101112131814[[#This Row],[  50-54]]-Table341011[[#This Row],[  50-54]]</f>
        <v>13657</v>
      </c>
      <c r="M67" s="5">
        <f>Table34101112131814[[#This Row],[  55-59]]-Table341011[[#This Row],[  55-59]]</f>
        <v>15230</v>
      </c>
      <c r="N67" s="5">
        <f>Table34101112131814[[#This Row],[  60-64]]-Table341011[[#This Row],[  60-64]]</f>
        <v>9394</v>
      </c>
      <c r="O67" s="5">
        <f>Table34101112131814[[#This Row],[  65-69]]-Table341011[[#This Row],[  65-69]]</f>
        <v>7300</v>
      </c>
      <c r="P67" s="5">
        <f>Table34101112131814[[#This Row],[  70-74]]-Table341011[[#This Row],[  70-74]]</f>
        <v>6328</v>
      </c>
      <c r="Q67" s="5">
        <f>Table34101112131814[[#This Row],[  75-79]]-Table341011[[#This Row],[  75-79]]</f>
        <v>-123</v>
      </c>
      <c r="R67" s="5">
        <f>Table34101112131814[[#This Row],[  80-84]]-Table341011[[#This Row],[  80-84]]</f>
        <v>1181</v>
      </c>
      <c r="S67" s="5">
        <f>Table34101112131814[[#This Row],[  85-89]]-Table341011[[#This Row],[  85-89]]</f>
        <v>746</v>
      </c>
      <c r="T67" s="5">
        <f>Table34101112131814[[#This Row],[  90+]]-Table341011[[#This Row],[  90+]]</f>
        <v>1380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4B98-ED33-E142-834A-8390C70EC8C4}">
  <dimension ref="A1:U67"/>
  <sheetViews>
    <sheetView zoomScale="112" zoomScaleNormal="150" workbookViewId="0">
      <selection activeCell="D16" sqref="D16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Table341011121318[[#This Row],[Total]]-Table3410111213[[#This Row],[Total]]</f>
        <v>6498</v>
      </c>
      <c r="D2" s="5">
        <f>Table341011121318[[#This Row],[  5-11]]-Table3410111213[[#This Row],[  5-11]]</f>
        <v>3176</v>
      </c>
      <c r="E2" s="5">
        <f>Table341011121318[[#This Row],[  12-17]]-Table3410111213[[#This Row],[  12-17]]</f>
        <v>752</v>
      </c>
      <c r="F2" s="5">
        <f>Table341011121318[[#This Row],[  18-24]]-Table3410111213[[#This Row],[  18-24]]</f>
        <v>383</v>
      </c>
      <c r="G2" s="5">
        <f>Table341011121318[[#This Row],[  25-29 ]]-Table3410111213[[#This Row],[  25-29 ]]</f>
        <v>429</v>
      </c>
      <c r="H2" s="5">
        <f>Table341011121318[[#This Row],[  30-34]]-Table3410111213[[#This Row],[  30-34]]</f>
        <v>458</v>
      </c>
      <c r="I2" s="5">
        <f>Table341011121318[[#This Row],[  35-39]]-Table3410111213[[#This Row],[  35-39]]</f>
        <v>325</v>
      </c>
      <c r="J2" s="5">
        <f>Table341011121318[[#This Row],[  40-44]]-Table3410111213[[#This Row],[  40-44]]</f>
        <v>292</v>
      </c>
      <c r="K2" s="5">
        <f>Table341011121318[[#This Row],[  45-49 ]]-Table3410111213[[#This Row],[  45-49 ]]</f>
        <v>282</v>
      </c>
      <c r="L2" s="5">
        <f>Table341011121318[[#This Row],[  50-54]]-Table3410111213[[#This Row],[  50-54]]</f>
        <v>152</v>
      </c>
      <c r="M2" s="5">
        <f>Table341011121318[[#This Row],[  55-59]]-Table3410111213[[#This Row],[  55-59]]</f>
        <v>233</v>
      </c>
      <c r="N2" s="5">
        <f>Table341011121318[[#This Row],[  60-64]]-Table3410111213[[#This Row],[  60-64]]</f>
        <v>16</v>
      </c>
      <c r="O2" s="5">
        <f>Table341011121318[[#This Row],[  65-69]]-Table3410111213[[#This Row],[  65-69]]</f>
        <v>23</v>
      </c>
      <c r="P2" s="5">
        <f>Table341011121318[[#This Row],[  70-74]]-Table3410111213[[#This Row],[  70-74]]</f>
        <v>-21</v>
      </c>
      <c r="Q2" s="5">
        <f>Table341011121318[[#This Row],[  75-79]]-Table3410111213[[#This Row],[  75-79]]</f>
        <v>-5</v>
      </c>
      <c r="R2" s="5">
        <f>Table341011121318[[#This Row],[  80-84]]-Table3410111213[[#This Row],[  80-84]]</f>
        <v>-1</v>
      </c>
      <c r="S2" s="5">
        <f>Table341011121318[[#This Row],[  85-89]]-Table3410111213[[#This Row],[  85-89]]</f>
        <v>3</v>
      </c>
      <c r="T2" s="5">
        <f>Table341011121318[[#This Row],[  90+]]-Table3410111213[[#This Row],[  90+]]</f>
        <v>1</v>
      </c>
    </row>
    <row r="3" spans="1:20" x14ac:dyDescent="0.2">
      <c r="A3" s="9" t="s">
        <v>1</v>
      </c>
      <c r="B3" s="6" t="s">
        <v>0</v>
      </c>
      <c r="C3" s="5">
        <f>Table341011121318[[#This Row],[Total]]-Table3410111213[[#This Row],[Total]]</f>
        <v>3370</v>
      </c>
      <c r="D3" s="5">
        <f>Table341011121318[[#This Row],[  5-11]]-Table3410111213[[#This Row],[  5-11]]</f>
        <v>1680</v>
      </c>
      <c r="E3" s="5">
        <f>Table341011121318[[#This Row],[  12-17]]-Table3410111213[[#This Row],[  12-17]]</f>
        <v>395</v>
      </c>
      <c r="F3" s="5">
        <f>Table341011121318[[#This Row],[  18-24]]-Table3410111213[[#This Row],[  18-24]]</f>
        <v>241</v>
      </c>
      <c r="G3" s="5">
        <f>Table341011121318[[#This Row],[  25-29 ]]-Table3410111213[[#This Row],[  25-29 ]]</f>
        <v>217</v>
      </c>
      <c r="H3" s="5">
        <f>Table341011121318[[#This Row],[  30-34]]-Table3410111213[[#This Row],[  30-34]]</f>
        <v>217</v>
      </c>
      <c r="I3" s="5">
        <f>Table341011121318[[#This Row],[  35-39]]-Table3410111213[[#This Row],[  35-39]]</f>
        <v>139</v>
      </c>
      <c r="J3" s="5">
        <f>Table341011121318[[#This Row],[  40-44]]-Table3410111213[[#This Row],[  40-44]]</f>
        <v>143</v>
      </c>
      <c r="K3" s="5">
        <f>Table341011121318[[#This Row],[  45-49 ]]-Table3410111213[[#This Row],[  45-49 ]]</f>
        <v>173</v>
      </c>
      <c r="L3" s="5">
        <f>Table341011121318[[#This Row],[  50-54]]-Table3410111213[[#This Row],[  50-54]]</f>
        <v>45</v>
      </c>
      <c r="M3" s="5">
        <f>Table341011121318[[#This Row],[  55-59]]-Table3410111213[[#This Row],[  55-59]]</f>
        <v>125</v>
      </c>
      <c r="N3" s="5">
        <f>Table341011121318[[#This Row],[  60-64]]-Table3410111213[[#This Row],[  60-64]]</f>
        <v>3</v>
      </c>
      <c r="O3" s="5">
        <f>Table341011121318[[#This Row],[  65-69]]-Table3410111213[[#This Row],[  65-69]]</f>
        <v>7</v>
      </c>
      <c r="P3" s="5">
        <f>Table341011121318[[#This Row],[  70-74]]-Table3410111213[[#This Row],[  70-74]]</f>
        <v>-16</v>
      </c>
      <c r="Q3" s="5">
        <f>Table341011121318[[#This Row],[  75-79]]-Table3410111213[[#This Row],[  75-79]]</f>
        <v>9</v>
      </c>
      <c r="R3" s="5">
        <f>Table341011121318[[#This Row],[  80-84]]-Table3410111213[[#This Row],[  80-84]]</f>
        <v>-5</v>
      </c>
      <c r="S3" s="5">
        <f>Table341011121318[[#This Row],[  85-89]]-Table3410111213[[#This Row],[  85-89]]</f>
        <v>-3</v>
      </c>
      <c r="T3" s="5">
        <f>Table341011121318[[#This Row],[  90+]]-Table3410111213[[#This Row],[  90+]]</f>
        <v>0</v>
      </c>
    </row>
    <row r="4" spans="1:20" x14ac:dyDescent="0.2">
      <c r="A4" s="9" t="s">
        <v>1</v>
      </c>
      <c r="B4" s="6" t="s">
        <v>23</v>
      </c>
      <c r="C4" s="5">
        <f>Table341011121318[[#This Row],[Total]]-Table3410111213[[#This Row],[Total]]</f>
        <v>3128</v>
      </c>
      <c r="D4" s="5">
        <f>Table341011121318[[#This Row],[  5-11]]-Table3410111213[[#This Row],[  5-11]]</f>
        <v>1496</v>
      </c>
      <c r="E4" s="5">
        <f>Table341011121318[[#This Row],[  12-17]]-Table3410111213[[#This Row],[  12-17]]</f>
        <v>357</v>
      </c>
      <c r="F4" s="5">
        <f>Table341011121318[[#This Row],[  18-24]]-Table3410111213[[#This Row],[  18-24]]</f>
        <v>142</v>
      </c>
      <c r="G4" s="5">
        <f>Table341011121318[[#This Row],[  25-29 ]]-Table3410111213[[#This Row],[  25-29 ]]</f>
        <v>212</v>
      </c>
      <c r="H4" s="5">
        <f>Table341011121318[[#This Row],[  30-34]]-Table3410111213[[#This Row],[  30-34]]</f>
        <v>241</v>
      </c>
      <c r="I4" s="5">
        <f>Table341011121318[[#This Row],[  35-39]]-Table3410111213[[#This Row],[  35-39]]</f>
        <v>186</v>
      </c>
      <c r="J4" s="5">
        <f>Table341011121318[[#This Row],[  40-44]]-Table3410111213[[#This Row],[  40-44]]</f>
        <v>149</v>
      </c>
      <c r="K4" s="5">
        <f>Table341011121318[[#This Row],[  45-49 ]]-Table3410111213[[#This Row],[  45-49 ]]</f>
        <v>109</v>
      </c>
      <c r="L4" s="5">
        <f>Table341011121318[[#This Row],[  50-54]]-Table3410111213[[#This Row],[  50-54]]</f>
        <v>107</v>
      </c>
      <c r="M4" s="5">
        <f>Table341011121318[[#This Row],[  55-59]]-Table3410111213[[#This Row],[  55-59]]</f>
        <v>108</v>
      </c>
      <c r="N4" s="5">
        <f>Table341011121318[[#This Row],[  60-64]]-Table3410111213[[#This Row],[  60-64]]</f>
        <v>13</v>
      </c>
      <c r="O4" s="5">
        <f>Table341011121318[[#This Row],[  65-69]]-Table3410111213[[#This Row],[  65-69]]</f>
        <v>16</v>
      </c>
      <c r="P4" s="5">
        <f>Table341011121318[[#This Row],[  70-74]]-Table3410111213[[#This Row],[  70-74]]</f>
        <v>-5</v>
      </c>
      <c r="Q4" s="5">
        <f>Table341011121318[[#This Row],[  75-79]]-Table3410111213[[#This Row],[  75-79]]</f>
        <v>-14</v>
      </c>
      <c r="R4" s="5">
        <f>Table341011121318[[#This Row],[  80-84]]-Table3410111213[[#This Row],[  80-84]]</f>
        <v>4</v>
      </c>
      <c r="S4" s="5">
        <f>Table341011121318[[#This Row],[  85-89]]-Table3410111213[[#This Row],[  85-89]]</f>
        <v>6</v>
      </c>
      <c r="T4" s="5">
        <f>Table341011121318[[#This Row],[  90+]]-Table3410111213[[#This Row],[  90+]]</f>
        <v>1</v>
      </c>
    </row>
    <row r="5" spans="1:20" ht="15" x14ac:dyDescent="0.2">
      <c r="A5" s="8" t="s">
        <v>2</v>
      </c>
      <c r="B5" s="6" t="s">
        <v>22</v>
      </c>
      <c r="C5" s="5">
        <f>Table341011121318[[#This Row],[Total]]-Table3410111213[[#This Row],[Total]]</f>
        <v>19161</v>
      </c>
      <c r="D5" s="5">
        <f>Table341011121318[[#This Row],[  5-11]]-Table3410111213[[#This Row],[  5-11]]</f>
        <v>8925</v>
      </c>
      <c r="E5" s="5">
        <f>Table341011121318[[#This Row],[  12-17]]-Table3410111213[[#This Row],[  12-17]]</f>
        <v>2711</v>
      </c>
      <c r="F5" s="5">
        <f>Table341011121318[[#This Row],[  18-24]]-Table3410111213[[#This Row],[  18-24]]</f>
        <v>1645</v>
      </c>
      <c r="G5" s="5">
        <f>Table341011121318[[#This Row],[  25-29 ]]-Table3410111213[[#This Row],[  25-29 ]]</f>
        <v>1301</v>
      </c>
      <c r="H5" s="5">
        <f>Table341011121318[[#This Row],[  30-34]]-Table3410111213[[#This Row],[  30-34]]</f>
        <v>1124</v>
      </c>
      <c r="I5" s="5">
        <f>Table341011121318[[#This Row],[  35-39]]-Table3410111213[[#This Row],[  35-39]]</f>
        <v>807</v>
      </c>
      <c r="J5" s="5">
        <f>Table341011121318[[#This Row],[  40-44]]-Table3410111213[[#This Row],[  40-44]]</f>
        <v>697</v>
      </c>
      <c r="K5" s="5">
        <f>Table341011121318[[#This Row],[  45-49 ]]-Table3410111213[[#This Row],[  45-49 ]]</f>
        <v>640</v>
      </c>
      <c r="L5" s="5">
        <f>Table341011121318[[#This Row],[  50-54]]-Table3410111213[[#This Row],[  50-54]]</f>
        <v>487</v>
      </c>
      <c r="M5" s="5">
        <f>Table341011121318[[#This Row],[  55-59]]-Table3410111213[[#This Row],[  55-59]]</f>
        <v>429</v>
      </c>
      <c r="N5" s="5">
        <f>Table341011121318[[#This Row],[  60-64]]-Table3410111213[[#This Row],[  60-64]]</f>
        <v>179</v>
      </c>
      <c r="O5" s="5">
        <f>Table341011121318[[#This Row],[  65-69]]-Table3410111213[[#This Row],[  65-69]]</f>
        <v>117</v>
      </c>
      <c r="P5" s="5">
        <f>Table341011121318[[#This Row],[  70-74]]-Table3410111213[[#This Row],[  70-74]]</f>
        <v>60</v>
      </c>
      <c r="Q5" s="5">
        <f>Table341011121318[[#This Row],[  75-79]]-Table3410111213[[#This Row],[  75-79]]</f>
        <v>6</v>
      </c>
      <c r="R5" s="5">
        <f>Table341011121318[[#This Row],[  80-84]]-Table3410111213[[#This Row],[  80-84]]</f>
        <v>7</v>
      </c>
      <c r="S5" s="5">
        <f>Table341011121318[[#This Row],[  85-89]]-Table3410111213[[#This Row],[  85-89]]</f>
        <v>16</v>
      </c>
      <c r="T5" s="5">
        <f>Table341011121318[[#This Row],[  90+]]-Table3410111213[[#This Row],[  90+]]</f>
        <v>10</v>
      </c>
    </row>
    <row r="6" spans="1:20" ht="15" x14ac:dyDescent="0.2">
      <c r="A6" s="8" t="s">
        <v>2</v>
      </c>
      <c r="B6" s="6" t="s">
        <v>0</v>
      </c>
      <c r="C6" s="5">
        <f>Table341011121318[[#This Row],[Total]]-Table3410111213[[#This Row],[Total]]</f>
        <v>9888</v>
      </c>
      <c r="D6" s="5">
        <f>Table341011121318[[#This Row],[  5-11]]-Table3410111213[[#This Row],[  5-11]]</f>
        <v>4669</v>
      </c>
      <c r="E6" s="5">
        <f>Table341011121318[[#This Row],[  12-17]]-Table3410111213[[#This Row],[  12-17]]</f>
        <v>1467</v>
      </c>
      <c r="F6" s="5">
        <f>Table341011121318[[#This Row],[  18-24]]-Table3410111213[[#This Row],[  18-24]]</f>
        <v>821</v>
      </c>
      <c r="G6" s="5">
        <f>Table341011121318[[#This Row],[  25-29 ]]-Table3410111213[[#This Row],[  25-29 ]]</f>
        <v>652</v>
      </c>
      <c r="H6" s="5">
        <f>Table341011121318[[#This Row],[  30-34]]-Table3410111213[[#This Row],[  30-34]]</f>
        <v>546</v>
      </c>
      <c r="I6" s="5">
        <f>Table341011121318[[#This Row],[  35-39]]-Table3410111213[[#This Row],[  35-39]]</f>
        <v>414</v>
      </c>
      <c r="J6" s="5">
        <f>Table341011121318[[#This Row],[  40-44]]-Table3410111213[[#This Row],[  40-44]]</f>
        <v>360</v>
      </c>
      <c r="K6" s="5">
        <f>Table341011121318[[#This Row],[  45-49 ]]-Table3410111213[[#This Row],[  45-49 ]]</f>
        <v>334</v>
      </c>
      <c r="L6" s="5">
        <f>Table341011121318[[#This Row],[  50-54]]-Table3410111213[[#This Row],[  50-54]]</f>
        <v>246</v>
      </c>
      <c r="M6" s="5">
        <f>Table341011121318[[#This Row],[  55-59]]-Table3410111213[[#This Row],[  55-59]]</f>
        <v>212</v>
      </c>
      <c r="N6" s="5">
        <f>Table341011121318[[#This Row],[  60-64]]-Table3410111213[[#This Row],[  60-64]]</f>
        <v>78</v>
      </c>
      <c r="O6" s="5">
        <f>Table341011121318[[#This Row],[  65-69]]-Table3410111213[[#This Row],[  65-69]]</f>
        <v>57</v>
      </c>
      <c r="P6" s="5">
        <f>Table341011121318[[#This Row],[  70-74]]-Table3410111213[[#This Row],[  70-74]]</f>
        <v>38</v>
      </c>
      <c r="Q6" s="5">
        <f>Table341011121318[[#This Row],[  75-79]]-Table3410111213[[#This Row],[  75-79]]</f>
        <v>-7</v>
      </c>
      <c r="R6" s="5">
        <f>Table341011121318[[#This Row],[  80-84]]-Table3410111213[[#This Row],[  80-84]]</f>
        <v>-9</v>
      </c>
      <c r="S6" s="5">
        <f>Table341011121318[[#This Row],[  85-89]]-Table3410111213[[#This Row],[  85-89]]</f>
        <v>5</v>
      </c>
      <c r="T6" s="5">
        <f>Table341011121318[[#This Row],[  90+]]-Table3410111213[[#This Row],[  90+]]</f>
        <v>5</v>
      </c>
    </row>
    <row r="7" spans="1:20" ht="15" x14ac:dyDescent="0.2">
      <c r="A7" s="8" t="s">
        <v>2</v>
      </c>
      <c r="B7" s="6" t="s">
        <v>23</v>
      </c>
      <c r="C7" s="5">
        <f>Table341011121318[[#This Row],[Total]]-Table3410111213[[#This Row],[Total]]</f>
        <v>9273</v>
      </c>
      <c r="D7" s="5">
        <f>Table341011121318[[#This Row],[  5-11]]-Table3410111213[[#This Row],[  5-11]]</f>
        <v>4256</v>
      </c>
      <c r="E7" s="5">
        <f>Table341011121318[[#This Row],[  12-17]]-Table3410111213[[#This Row],[  12-17]]</f>
        <v>1244</v>
      </c>
      <c r="F7" s="5">
        <f>Table341011121318[[#This Row],[  18-24]]-Table3410111213[[#This Row],[  18-24]]</f>
        <v>824</v>
      </c>
      <c r="G7" s="5">
        <f>Table341011121318[[#This Row],[  25-29 ]]-Table3410111213[[#This Row],[  25-29 ]]</f>
        <v>649</v>
      </c>
      <c r="H7" s="5">
        <f>Table341011121318[[#This Row],[  30-34]]-Table3410111213[[#This Row],[  30-34]]</f>
        <v>578</v>
      </c>
      <c r="I7" s="5">
        <f>Table341011121318[[#This Row],[  35-39]]-Table3410111213[[#This Row],[  35-39]]</f>
        <v>393</v>
      </c>
      <c r="J7" s="5">
        <f>Table341011121318[[#This Row],[  40-44]]-Table3410111213[[#This Row],[  40-44]]</f>
        <v>337</v>
      </c>
      <c r="K7" s="5">
        <f>Table341011121318[[#This Row],[  45-49 ]]-Table3410111213[[#This Row],[  45-49 ]]</f>
        <v>306</v>
      </c>
      <c r="L7" s="5">
        <f>Table341011121318[[#This Row],[  50-54]]-Table3410111213[[#This Row],[  50-54]]</f>
        <v>241</v>
      </c>
      <c r="M7" s="5">
        <f>Table341011121318[[#This Row],[  55-59]]-Table3410111213[[#This Row],[  55-59]]</f>
        <v>217</v>
      </c>
      <c r="N7" s="5">
        <f>Table341011121318[[#This Row],[  60-64]]-Table3410111213[[#This Row],[  60-64]]</f>
        <v>101</v>
      </c>
      <c r="O7" s="5">
        <f>Table341011121318[[#This Row],[  65-69]]-Table3410111213[[#This Row],[  65-69]]</f>
        <v>60</v>
      </c>
      <c r="P7" s="5">
        <f>Table341011121318[[#This Row],[  70-74]]-Table3410111213[[#This Row],[  70-74]]</f>
        <v>22</v>
      </c>
      <c r="Q7" s="5">
        <f>Table341011121318[[#This Row],[  75-79]]-Table3410111213[[#This Row],[  75-79]]</f>
        <v>13</v>
      </c>
      <c r="R7" s="5">
        <f>Table341011121318[[#This Row],[  80-84]]-Table3410111213[[#This Row],[  80-84]]</f>
        <v>16</v>
      </c>
      <c r="S7" s="5">
        <f>Table341011121318[[#This Row],[  85-89]]-Table3410111213[[#This Row],[  85-89]]</f>
        <v>11</v>
      </c>
      <c r="T7" s="5">
        <f>Table341011121318[[#This Row],[  90+]]-Table3410111213[[#This Row],[  90+]]</f>
        <v>5</v>
      </c>
    </row>
    <row r="8" spans="1:20" x14ac:dyDescent="0.2">
      <c r="A8" s="9" t="s">
        <v>3</v>
      </c>
      <c r="B8" s="6" t="s">
        <v>22</v>
      </c>
      <c r="C8" s="5">
        <f>Table341011121318[[#This Row],[Total]]-Table3410111213[[#This Row],[Total]]</f>
        <v>10553</v>
      </c>
      <c r="D8" s="5">
        <f>Table341011121318[[#This Row],[  5-11]]-Table3410111213[[#This Row],[  5-11]]</f>
        <v>6271</v>
      </c>
      <c r="E8" s="5">
        <f>Table341011121318[[#This Row],[  12-17]]-Table3410111213[[#This Row],[  12-17]]</f>
        <v>1276</v>
      </c>
      <c r="F8" s="5">
        <f>Table341011121318[[#This Row],[  18-24]]-Table3410111213[[#This Row],[  18-24]]</f>
        <v>517</v>
      </c>
      <c r="G8" s="5">
        <f>Table341011121318[[#This Row],[  25-29 ]]-Table3410111213[[#This Row],[  25-29 ]]</f>
        <v>612</v>
      </c>
      <c r="H8" s="5">
        <f>Table341011121318[[#This Row],[  30-34]]-Table3410111213[[#This Row],[  30-34]]</f>
        <v>583</v>
      </c>
      <c r="I8" s="5">
        <f>Table341011121318[[#This Row],[  35-39]]-Table3410111213[[#This Row],[  35-39]]</f>
        <v>328</v>
      </c>
      <c r="J8" s="5">
        <f>Table341011121318[[#This Row],[  40-44]]-Table3410111213[[#This Row],[  40-44]]</f>
        <v>370</v>
      </c>
      <c r="K8" s="5">
        <f>Table341011121318[[#This Row],[  45-49 ]]-Table3410111213[[#This Row],[  45-49 ]]</f>
        <v>320</v>
      </c>
      <c r="L8" s="5">
        <f>Table341011121318[[#This Row],[  50-54]]-Table3410111213[[#This Row],[  50-54]]</f>
        <v>254</v>
      </c>
      <c r="M8" s="5">
        <f>Table341011121318[[#This Row],[  55-59]]-Table3410111213[[#This Row],[  55-59]]</f>
        <v>100</v>
      </c>
      <c r="N8" s="5">
        <f>Table341011121318[[#This Row],[  60-64]]-Table3410111213[[#This Row],[  60-64]]</f>
        <v>-11</v>
      </c>
      <c r="O8" s="5">
        <f>Table341011121318[[#This Row],[  65-69]]-Table3410111213[[#This Row],[  65-69]]</f>
        <v>8</v>
      </c>
      <c r="P8" s="5">
        <f>Table341011121318[[#This Row],[  70-74]]-Table3410111213[[#This Row],[  70-74]]</f>
        <v>-45</v>
      </c>
      <c r="Q8" s="5">
        <f>Table341011121318[[#This Row],[  75-79]]-Table3410111213[[#This Row],[  75-79]]</f>
        <v>-11</v>
      </c>
      <c r="R8" s="5">
        <f>Table341011121318[[#This Row],[  80-84]]-Table3410111213[[#This Row],[  80-84]]</f>
        <v>-25</v>
      </c>
      <c r="S8" s="5">
        <f>Table341011121318[[#This Row],[  85-89]]-Table3410111213[[#This Row],[  85-89]]</f>
        <v>5</v>
      </c>
      <c r="T8" s="5">
        <f>Table341011121318[[#This Row],[  90+]]-Table3410111213[[#This Row],[  90+]]</f>
        <v>1</v>
      </c>
    </row>
    <row r="9" spans="1:20" x14ac:dyDescent="0.2">
      <c r="A9" s="9" t="s">
        <v>3</v>
      </c>
      <c r="B9" s="6" t="s">
        <v>0</v>
      </c>
      <c r="C9" s="5">
        <f>Table341011121318[[#This Row],[Total]]-Table3410111213[[#This Row],[Total]]</f>
        <v>5497</v>
      </c>
      <c r="D9" s="5">
        <f>Table341011121318[[#This Row],[  5-11]]-Table3410111213[[#This Row],[  5-11]]</f>
        <v>3247</v>
      </c>
      <c r="E9" s="5">
        <f>Table341011121318[[#This Row],[  12-17]]-Table3410111213[[#This Row],[  12-17]]</f>
        <v>678</v>
      </c>
      <c r="F9" s="5">
        <f>Table341011121318[[#This Row],[  18-24]]-Table3410111213[[#This Row],[  18-24]]</f>
        <v>281</v>
      </c>
      <c r="G9" s="5">
        <f>Table341011121318[[#This Row],[  25-29 ]]-Table3410111213[[#This Row],[  25-29 ]]</f>
        <v>304</v>
      </c>
      <c r="H9" s="5">
        <f>Table341011121318[[#This Row],[  30-34]]-Table3410111213[[#This Row],[  30-34]]</f>
        <v>297</v>
      </c>
      <c r="I9" s="5">
        <f>Table341011121318[[#This Row],[  35-39]]-Table3410111213[[#This Row],[  35-39]]</f>
        <v>214</v>
      </c>
      <c r="J9" s="5">
        <f>Table341011121318[[#This Row],[  40-44]]-Table3410111213[[#This Row],[  40-44]]</f>
        <v>190</v>
      </c>
      <c r="K9" s="5">
        <f>Table341011121318[[#This Row],[  45-49 ]]-Table3410111213[[#This Row],[  45-49 ]]</f>
        <v>163</v>
      </c>
      <c r="L9" s="5">
        <f>Table341011121318[[#This Row],[  50-54]]-Table3410111213[[#This Row],[  50-54]]</f>
        <v>157</v>
      </c>
      <c r="M9" s="5">
        <f>Table341011121318[[#This Row],[  55-59]]-Table3410111213[[#This Row],[  55-59]]</f>
        <v>5</v>
      </c>
      <c r="N9" s="5">
        <f>Table341011121318[[#This Row],[  60-64]]-Table3410111213[[#This Row],[  60-64]]</f>
        <v>1</v>
      </c>
      <c r="O9" s="5">
        <f>Table341011121318[[#This Row],[  65-69]]-Table3410111213[[#This Row],[  65-69]]</f>
        <v>1</v>
      </c>
      <c r="P9" s="5">
        <f>Table341011121318[[#This Row],[  70-74]]-Table3410111213[[#This Row],[  70-74]]</f>
        <v>-13</v>
      </c>
      <c r="Q9" s="5">
        <f>Table341011121318[[#This Row],[  75-79]]-Table3410111213[[#This Row],[  75-79]]</f>
        <v>-5</v>
      </c>
      <c r="R9" s="5">
        <f>Table341011121318[[#This Row],[  80-84]]-Table3410111213[[#This Row],[  80-84]]</f>
        <v>-25</v>
      </c>
      <c r="S9" s="5">
        <f>Table341011121318[[#This Row],[  85-89]]-Table3410111213[[#This Row],[  85-89]]</f>
        <v>-1</v>
      </c>
      <c r="T9" s="5">
        <f>Table341011121318[[#This Row],[  90+]]-Table3410111213[[#This Row],[  90+]]</f>
        <v>3</v>
      </c>
    </row>
    <row r="10" spans="1:20" x14ac:dyDescent="0.2">
      <c r="A10" s="9" t="s">
        <v>3</v>
      </c>
      <c r="B10" s="6" t="s">
        <v>23</v>
      </c>
      <c r="C10" s="5">
        <f>Table341011121318[[#This Row],[Total]]-Table3410111213[[#This Row],[Total]]</f>
        <v>5056</v>
      </c>
      <c r="D10" s="5">
        <f>Table341011121318[[#This Row],[  5-11]]-Table3410111213[[#This Row],[  5-11]]</f>
        <v>3024</v>
      </c>
      <c r="E10" s="5">
        <f>Table341011121318[[#This Row],[  12-17]]-Table3410111213[[#This Row],[  12-17]]</f>
        <v>598</v>
      </c>
      <c r="F10" s="5">
        <f>Table341011121318[[#This Row],[  18-24]]-Table3410111213[[#This Row],[  18-24]]</f>
        <v>236</v>
      </c>
      <c r="G10" s="5">
        <f>Table341011121318[[#This Row],[  25-29 ]]-Table3410111213[[#This Row],[  25-29 ]]</f>
        <v>308</v>
      </c>
      <c r="H10" s="5">
        <f>Table341011121318[[#This Row],[  30-34]]-Table3410111213[[#This Row],[  30-34]]</f>
        <v>286</v>
      </c>
      <c r="I10" s="5">
        <f>Table341011121318[[#This Row],[  35-39]]-Table3410111213[[#This Row],[  35-39]]</f>
        <v>114</v>
      </c>
      <c r="J10" s="5">
        <f>Table341011121318[[#This Row],[  40-44]]-Table3410111213[[#This Row],[  40-44]]</f>
        <v>180</v>
      </c>
      <c r="K10" s="5">
        <f>Table341011121318[[#This Row],[  45-49 ]]-Table3410111213[[#This Row],[  45-49 ]]</f>
        <v>157</v>
      </c>
      <c r="L10" s="5">
        <f>Table341011121318[[#This Row],[  50-54]]-Table3410111213[[#This Row],[  50-54]]</f>
        <v>97</v>
      </c>
      <c r="M10" s="5">
        <f>Table341011121318[[#This Row],[  55-59]]-Table3410111213[[#This Row],[  55-59]]</f>
        <v>95</v>
      </c>
      <c r="N10" s="5">
        <f>Table341011121318[[#This Row],[  60-64]]-Table3410111213[[#This Row],[  60-64]]</f>
        <v>-12</v>
      </c>
      <c r="O10" s="5">
        <f>Table341011121318[[#This Row],[  65-69]]-Table3410111213[[#This Row],[  65-69]]</f>
        <v>7</v>
      </c>
      <c r="P10" s="5">
        <f>Table341011121318[[#This Row],[  70-74]]-Table3410111213[[#This Row],[  70-74]]</f>
        <v>-32</v>
      </c>
      <c r="Q10" s="5">
        <f>Table341011121318[[#This Row],[  75-79]]-Table3410111213[[#This Row],[  75-79]]</f>
        <v>-6</v>
      </c>
      <c r="R10" s="5">
        <f>Table341011121318[[#This Row],[  80-84]]-Table3410111213[[#This Row],[  80-84]]</f>
        <v>0</v>
      </c>
      <c r="S10" s="5">
        <f>Table341011121318[[#This Row],[  85-89]]-Table3410111213[[#This Row],[  85-89]]</f>
        <v>6</v>
      </c>
      <c r="T10" s="5">
        <f>Table341011121318[[#This Row],[  90+]]-Table3410111213[[#This Row],[  90+]]</f>
        <v>-2</v>
      </c>
    </row>
    <row r="11" spans="1:20" x14ac:dyDescent="0.2">
      <c r="A11" s="9" t="s">
        <v>4</v>
      </c>
      <c r="B11" s="6" t="s">
        <v>22</v>
      </c>
      <c r="C11" s="5">
        <f>Table341011121318[[#This Row],[Total]]-Table3410111213[[#This Row],[Total]]</f>
        <v>6131</v>
      </c>
      <c r="D11" s="5">
        <f>Table341011121318[[#This Row],[  5-11]]-Table3410111213[[#This Row],[  5-11]]</f>
        <v>3530</v>
      </c>
      <c r="E11" s="5">
        <f>Table341011121318[[#This Row],[  12-17]]-Table3410111213[[#This Row],[  12-17]]</f>
        <v>720</v>
      </c>
      <c r="F11" s="5">
        <f>Table341011121318[[#This Row],[  18-24]]-Table3410111213[[#This Row],[  18-24]]</f>
        <v>296</v>
      </c>
      <c r="G11" s="5">
        <f>Table341011121318[[#This Row],[  25-29 ]]-Table3410111213[[#This Row],[  25-29 ]]</f>
        <v>331</v>
      </c>
      <c r="H11" s="5">
        <f>Table341011121318[[#This Row],[  30-34]]-Table3410111213[[#This Row],[  30-34]]</f>
        <v>408</v>
      </c>
      <c r="I11" s="5">
        <f>Table341011121318[[#This Row],[  35-39]]-Table3410111213[[#This Row],[  35-39]]</f>
        <v>186</v>
      </c>
      <c r="J11" s="5">
        <f>Table341011121318[[#This Row],[  40-44]]-Table3410111213[[#This Row],[  40-44]]</f>
        <v>268</v>
      </c>
      <c r="K11" s="5">
        <f>Table341011121318[[#This Row],[  45-49 ]]-Table3410111213[[#This Row],[  45-49 ]]</f>
        <v>167</v>
      </c>
      <c r="L11" s="5">
        <f>Table341011121318[[#This Row],[  50-54]]-Table3410111213[[#This Row],[  50-54]]</f>
        <v>167</v>
      </c>
      <c r="M11" s="5">
        <f>Table341011121318[[#This Row],[  55-59]]-Table3410111213[[#This Row],[  55-59]]</f>
        <v>107</v>
      </c>
      <c r="N11" s="5">
        <f>Table341011121318[[#This Row],[  60-64]]-Table3410111213[[#This Row],[  60-64]]</f>
        <v>-17</v>
      </c>
      <c r="O11" s="5">
        <f>Table341011121318[[#This Row],[  65-69]]-Table3410111213[[#This Row],[  65-69]]</f>
        <v>-29</v>
      </c>
      <c r="P11" s="5">
        <f>Table341011121318[[#This Row],[  70-74]]-Table3410111213[[#This Row],[  70-74]]</f>
        <v>2</v>
      </c>
      <c r="Q11" s="5">
        <f>Table341011121318[[#This Row],[  75-79]]-Table3410111213[[#This Row],[  75-79]]</f>
        <v>-1</v>
      </c>
      <c r="R11" s="5">
        <f>Table341011121318[[#This Row],[  80-84]]-Table3410111213[[#This Row],[  80-84]]</f>
        <v>-1</v>
      </c>
      <c r="S11" s="5">
        <f>Table341011121318[[#This Row],[  85-89]]-Table3410111213[[#This Row],[  85-89]]</f>
        <v>-5</v>
      </c>
      <c r="T11" s="5">
        <f>Table341011121318[[#This Row],[  90+]]-Table3410111213[[#This Row],[  90+]]</f>
        <v>2</v>
      </c>
    </row>
    <row r="12" spans="1:20" x14ac:dyDescent="0.2">
      <c r="A12" s="9" t="s">
        <v>4</v>
      </c>
      <c r="B12" s="6" t="s">
        <v>0</v>
      </c>
      <c r="C12" s="5">
        <f>Table341011121318[[#This Row],[Total]]-Table3410111213[[#This Row],[Total]]</f>
        <v>3170</v>
      </c>
      <c r="D12" s="5">
        <f>Table341011121318[[#This Row],[  5-11]]-Table3410111213[[#This Row],[  5-11]]</f>
        <v>1827</v>
      </c>
      <c r="E12" s="5">
        <f>Table341011121318[[#This Row],[  12-17]]-Table3410111213[[#This Row],[  12-17]]</f>
        <v>363</v>
      </c>
      <c r="F12" s="5">
        <f>Table341011121318[[#This Row],[  18-24]]-Table3410111213[[#This Row],[  18-24]]</f>
        <v>167</v>
      </c>
      <c r="G12" s="5">
        <f>Table341011121318[[#This Row],[  25-29 ]]-Table3410111213[[#This Row],[  25-29 ]]</f>
        <v>174</v>
      </c>
      <c r="H12" s="5">
        <f>Table341011121318[[#This Row],[  30-34]]-Table3410111213[[#This Row],[  30-34]]</f>
        <v>225</v>
      </c>
      <c r="I12" s="5">
        <f>Table341011121318[[#This Row],[  35-39]]-Table3410111213[[#This Row],[  35-39]]</f>
        <v>61</v>
      </c>
      <c r="J12" s="5">
        <f>Table341011121318[[#This Row],[  40-44]]-Table3410111213[[#This Row],[  40-44]]</f>
        <v>128</v>
      </c>
      <c r="K12" s="5">
        <f>Table341011121318[[#This Row],[  45-49 ]]-Table3410111213[[#This Row],[  45-49 ]]</f>
        <v>106</v>
      </c>
      <c r="L12" s="5">
        <f>Table341011121318[[#This Row],[  50-54]]-Table3410111213[[#This Row],[  50-54]]</f>
        <v>100</v>
      </c>
      <c r="M12" s="5">
        <f>Table341011121318[[#This Row],[  55-59]]-Table3410111213[[#This Row],[  55-59]]</f>
        <v>35</v>
      </c>
      <c r="N12" s="5">
        <f>Table341011121318[[#This Row],[  60-64]]-Table3410111213[[#This Row],[  60-64]]</f>
        <v>-18</v>
      </c>
      <c r="O12" s="5">
        <f>Table341011121318[[#This Row],[  65-69]]-Table3410111213[[#This Row],[  65-69]]</f>
        <v>1</v>
      </c>
      <c r="P12" s="5">
        <f>Table341011121318[[#This Row],[  70-74]]-Table3410111213[[#This Row],[  70-74]]</f>
        <v>4</v>
      </c>
      <c r="Q12" s="5">
        <f>Table341011121318[[#This Row],[  75-79]]-Table3410111213[[#This Row],[  75-79]]</f>
        <v>1</v>
      </c>
      <c r="R12" s="5">
        <f>Table341011121318[[#This Row],[  80-84]]-Table3410111213[[#This Row],[  80-84]]</f>
        <v>1</v>
      </c>
      <c r="S12" s="5">
        <f>Table341011121318[[#This Row],[  85-89]]-Table3410111213[[#This Row],[  85-89]]</f>
        <v>-5</v>
      </c>
      <c r="T12" s="5">
        <f>Table341011121318[[#This Row],[  90+]]-Table3410111213[[#This Row],[  90+]]</f>
        <v>0</v>
      </c>
    </row>
    <row r="13" spans="1:20" x14ac:dyDescent="0.2">
      <c r="A13" s="9" t="s">
        <v>4</v>
      </c>
      <c r="B13" s="6" t="s">
        <v>23</v>
      </c>
      <c r="C13" s="5">
        <f>Table341011121318[[#This Row],[Total]]-Table3410111213[[#This Row],[Total]]</f>
        <v>2961</v>
      </c>
      <c r="D13" s="5">
        <f>Table341011121318[[#This Row],[  5-11]]-Table3410111213[[#This Row],[  5-11]]</f>
        <v>1703</v>
      </c>
      <c r="E13" s="5">
        <f>Table341011121318[[#This Row],[  12-17]]-Table3410111213[[#This Row],[  12-17]]</f>
        <v>357</v>
      </c>
      <c r="F13" s="5">
        <f>Table341011121318[[#This Row],[  18-24]]-Table3410111213[[#This Row],[  18-24]]</f>
        <v>129</v>
      </c>
      <c r="G13" s="5">
        <f>Table341011121318[[#This Row],[  25-29 ]]-Table3410111213[[#This Row],[  25-29 ]]</f>
        <v>157</v>
      </c>
      <c r="H13" s="5">
        <f>Table341011121318[[#This Row],[  30-34]]-Table3410111213[[#This Row],[  30-34]]</f>
        <v>183</v>
      </c>
      <c r="I13" s="5">
        <f>Table341011121318[[#This Row],[  35-39]]-Table3410111213[[#This Row],[  35-39]]</f>
        <v>125</v>
      </c>
      <c r="J13" s="5">
        <f>Table341011121318[[#This Row],[  40-44]]-Table3410111213[[#This Row],[  40-44]]</f>
        <v>140</v>
      </c>
      <c r="K13" s="5">
        <f>Table341011121318[[#This Row],[  45-49 ]]-Table3410111213[[#This Row],[  45-49 ]]</f>
        <v>61</v>
      </c>
      <c r="L13" s="5">
        <f>Table341011121318[[#This Row],[  50-54]]-Table3410111213[[#This Row],[  50-54]]</f>
        <v>67</v>
      </c>
      <c r="M13" s="5">
        <f>Table341011121318[[#This Row],[  55-59]]-Table3410111213[[#This Row],[  55-59]]</f>
        <v>72</v>
      </c>
      <c r="N13" s="5">
        <f>Table341011121318[[#This Row],[  60-64]]-Table3410111213[[#This Row],[  60-64]]</f>
        <v>1</v>
      </c>
      <c r="O13" s="5">
        <f>Table341011121318[[#This Row],[  65-69]]-Table3410111213[[#This Row],[  65-69]]</f>
        <v>-30</v>
      </c>
      <c r="P13" s="5">
        <f>Table341011121318[[#This Row],[  70-74]]-Table3410111213[[#This Row],[  70-74]]</f>
        <v>-2</v>
      </c>
      <c r="Q13" s="5">
        <f>Table341011121318[[#This Row],[  75-79]]-Table3410111213[[#This Row],[  75-79]]</f>
        <v>-2</v>
      </c>
      <c r="R13" s="5">
        <f>Table341011121318[[#This Row],[  80-84]]-Table3410111213[[#This Row],[  80-84]]</f>
        <v>-2</v>
      </c>
      <c r="S13" s="5">
        <f>Table341011121318[[#This Row],[  85-89]]-Table3410111213[[#This Row],[  85-89]]</f>
        <v>0</v>
      </c>
      <c r="T13" s="5">
        <f>Table341011121318[[#This Row],[  90+]]-Table3410111213[[#This Row],[  90+]]</f>
        <v>2</v>
      </c>
    </row>
    <row r="14" spans="1:20" x14ac:dyDescent="0.2">
      <c r="A14" s="9" t="s">
        <v>5</v>
      </c>
      <c r="B14" s="6" t="s">
        <v>22</v>
      </c>
      <c r="C14" s="5">
        <f>Table341011121318[[#This Row],[Total]]-Table3410111213[[#This Row],[Total]]</f>
        <v>22321</v>
      </c>
      <c r="D14" s="5">
        <f>Table341011121318[[#This Row],[  5-11]]-Table3410111213[[#This Row],[  5-11]]</f>
        <v>11803</v>
      </c>
      <c r="E14" s="5">
        <f>Table341011121318[[#This Row],[  12-17]]-Table3410111213[[#This Row],[  12-17]]</f>
        <v>2725</v>
      </c>
      <c r="F14" s="5">
        <f>Table341011121318[[#This Row],[  18-24]]-Table3410111213[[#This Row],[  18-24]]</f>
        <v>1746</v>
      </c>
      <c r="G14" s="5">
        <f>Table341011121318[[#This Row],[  25-29 ]]-Table3410111213[[#This Row],[  25-29 ]]</f>
        <v>1546</v>
      </c>
      <c r="H14" s="5">
        <f>Table341011121318[[#This Row],[  30-34]]-Table3410111213[[#This Row],[  30-34]]</f>
        <v>1195</v>
      </c>
      <c r="I14" s="5">
        <f>Table341011121318[[#This Row],[  35-39]]-Table3410111213[[#This Row],[  35-39]]</f>
        <v>656</v>
      </c>
      <c r="J14" s="5">
        <f>Table341011121318[[#This Row],[  40-44]]-Table3410111213[[#This Row],[  40-44]]</f>
        <v>654</v>
      </c>
      <c r="K14" s="5">
        <f>Table341011121318[[#This Row],[  45-49 ]]-Table3410111213[[#This Row],[  45-49 ]]</f>
        <v>676</v>
      </c>
      <c r="L14" s="5">
        <f>Table341011121318[[#This Row],[  50-54]]-Table3410111213[[#This Row],[  50-54]]</f>
        <v>551</v>
      </c>
      <c r="M14" s="5">
        <f>Table341011121318[[#This Row],[  55-59]]-Table3410111213[[#This Row],[  55-59]]</f>
        <v>425</v>
      </c>
      <c r="N14" s="5">
        <f>Table341011121318[[#This Row],[  60-64]]-Table3410111213[[#This Row],[  60-64]]</f>
        <v>133</v>
      </c>
      <c r="O14" s="5">
        <f>Table341011121318[[#This Row],[  65-69]]-Table3410111213[[#This Row],[  65-69]]</f>
        <v>90</v>
      </c>
      <c r="P14" s="5">
        <f>Table341011121318[[#This Row],[  70-74]]-Table3410111213[[#This Row],[  70-74]]</f>
        <v>57</v>
      </c>
      <c r="Q14" s="5">
        <f>Table341011121318[[#This Row],[  75-79]]-Table3410111213[[#This Row],[  75-79]]</f>
        <v>34</v>
      </c>
      <c r="R14" s="5">
        <f>Table341011121318[[#This Row],[  80-84]]-Table3410111213[[#This Row],[  80-84]]</f>
        <v>33</v>
      </c>
      <c r="S14" s="5">
        <f>Table341011121318[[#This Row],[  85-89]]-Table3410111213[[#This Row],[  85-89]]</f>
        <v>-11</v>
      </c>
      <c r="T14" s="5">
        <f>Table341011121318[[#This Row],[  90+]]-Table3410111213[[#This Row],[  90+]]</f>
        <v>8</v>
      </c>
    </row>
    <row r="15" spans="1:20" x14ac:dyDescent="0.2">
      <c r="A15" s="9" t="s">
        <v>5</v>
      </c>
      <c r="B15" s="6" t="s">
        <v>0</v>
      </c>
      <c r="C15" s="5">
        <f>Table341011121318[[#This Row],[Total]]-Table3410111213[[#This Row],[Total]]</f>
        <v>11179</v>
      </c>
      <c r="D15" s="5">
        <f>Table341011121318[[#This Row],[  5-11]]-Table3410111213[[#This Row],[  5-11]]</f>
        <v>6100</v>
      </c>
      <c r="E15" s="5">
        <f>Table341011121318[[#This Row],[  12-17]]-Table3410111213[[#This Row],[  12-17]]</f>
        <v>1453</v>
      </c>
      <c r="F15" s="5">
        <f>Table341011121318[[#This Row],[  18-24]]-Table3410111213[[#This Row],[  18-24]]</f>
        <v>856</v>
      </c>
      <c r="G15" s="5">
        <f>Table341011121318[[#This Row],[  25-29 ]]-Table3410111213[[#This Row],[  25-29 ]]</f>
        <v>680</v>
      </c>
      <c r="H15" s="5">
        <f>Table341011121318[[#This Row],[  30-34]]-Table3410111213[[#This Row],[  30-34]]</f>
        <v>552</v>
      </c>
      <c r="I15" s="5">
        <f>Table341011121318[[#This Row],[  35-39]]-Table3410111213[[#This Row],[  35-39]]</f>
        <v>314</v>
      </c>
      <c r="J15" s="5">
        <f>Table341011121318[[#This Row],[  40-44]]-Table3410111213[[#This Row],[  40-44]]</f>
        <v>307</v>
      </c>
      <c r="K15" s="5">
        <f>Table341011121318[[#This Row],[  45-49 ]]-Table3410111213[[#This Row],[  45-49 ]]</f>
        <v>308</v>
      </c>
      <c r="L15" s="5">
        <f>Table341011121318[[#This Row],[  50-54]]-Table3410111213[[#This Row],[  50-54]]</f>
        <v>298</v>
      </c>
      <c r="M15" s="5">
        <f>Table341011121318[[#This Row],[  55-59]]-Table3410111213[[#This Row],[  55-59]]</f>
        <v>223</v>
      </c>
      <c r="N15" s="5">
        <f>Table341011121318[[#This Row],[  60-64]]-Table3410111213[[#This Row],[  60-64]]</f>
        <v>31</v>
      </c>
      <c r="O15" s="5">
        <f>Table341011121318[[#This Row],[  65-69]]-Table3410111213[[#This Row],[  65-69]]</f>
        <v>39</v>
      </c>
      <c r="P15" s="5">
        <f>Table341011121318[[#This Row],[  70-74]]-Table3410111213[[#This Row],[  70-74]]</f>
        <v>6</v>
      </c>
      <c r="Q15" s="5">
        <f>Table341011121318[[#This Row],[  75-79]]-Table3410111213[[#This Row],[  75-79]]</f>
        <v>6</v>
      </c>
      <c r="R15" s="5">
        <f>Table341011121318[[#This Row],[  80-84]]-Table3410111213[[#This Row],[  80-84]]</f>
        <v>4</v>
      </c>
      <c r="S15" s="5">
        <f>Table341011121318[[#This Row],[  85-89]]-Table3410111213[[#This Row],[  85-89]]</f>
        <v>-3</v>
      </c>
      <c r="T15" s="5">
        <f>Table341011121318[[#This Row],[  90+]]-Table3410111213[[#This Row],[  90+]]</f>
        <v>5</v>
      </c>
    </row>
    <row r="16" spans="1:20" x14ac:dyDescent="0.2">
      <c r="A16" s="9" t="s">
        <v>5</v>
      </c>
      <c r="B16" s="6" t="s">
        <v>23</v>
      </c>
      <c r="C16" s="5">
        <f>Table341011121318[[#This Row],[Total]]-Table3410111213[[#This Row],[Total]]</f>
        <v>11142</v>
      </c>
      <c r="D16" s="5">
        <f>Table341011121318[[#This Row],[  5-11]]-Table3410111213[[#This Row],[  5-11]]</f>
        <v>5703</v>
      </c>
      <c r="E16" s="5">
        <f>Table341011121318[[#This Row],[  12-17]]-Table3410111213[[#This Row],[  12-17]]</f>
        <v>1272</v>
      </c>
      <c r="F16" s="5">
        <f>Table341011121318[[#This Row],[  18-24]]-Table3410111213[[#This Row],[  18-24]]</f>
        <v>890</v>
      </c>
      <c r="G16" s="5">
        <f>Table341011121318[[#This Row],[  25-29 ]]-Table3410111213[[#This Row],[  25-29 ]]</f>
        <v>866</v>
      </c>
      <c r="H16" s="5">
        <f>Table341011121318[[#This Row],[  30-34]]-Table3410111213[[#This Row],[  30-34]]</f>
        <v>643</v>
      </c>
      <c r="I16" s="5">
        <f>Table341011121318[[#This Row],[  35-39]]-Table3410111213[[#This Row],[  35-39]]</f>
        <v>342</v>
      </c>
      <c r="J16" s="5">
        <f>Table341011121318[[#This Row],[  40-44]]-Table3410111213[[#This Row],[  40-44]]</f>
        <v>347</v>
      </c>
      <c r="K16" s="5">
        <f>Table341011121318[[#This Row],[  45-49 ]]-Table3410111213[[#This Row],[  45-49 ]]</f>
        <v>368</v>
      </c>
      <c r="L16" s="5">
        <f>Table341011121318[[#This Row],[  50-54]]-Table3410111213[[#This Row],[  50-54]]</f>
        <v>253</v>
      </c>
      <c r="M16" s="5">
        <f>Table341011121318[[#This Row],[  55-59]]-Table3410111213[[#This Row],[  55-59]]</f>
        <v>202</v>
      </c>
      <c r="N16" s="5">
        <f>Table341011121318[[#This Row],[  60-64]]-Table3410111213[[#This Row],[  60-64]]</f>
        <v>102</v>
      </c>
      <c r="O16" s="5">
        <f>Table341011121318[[#This Row],[  65-69]]-Table3410111213[[#This Row],[  65-69]]</f>
        <v>51</v>
      </c>
      <c r="P16" s="5">
        <f>Table341011121318[[#This Row],[  70-74]]-Table3410111213[[#This Row],[  70-74]]</f>
        <v>51</v>
      </c>
      <c r="Q16" s="5">
        <f>Table341011121318[[#This Row],[  75-79]]-Table3410111213[[#This Row],[  75-79]]</f>
        <v>28</v>
      </c>
      <c r="R16" s="5">
        <f>Table341011121318[[#This Row],[  80-84]]-Table3410111213[[#This Row],[  80-84]]</f>
        <v>29</v>
      </c>
      <c r="S16" s="5">
        <f>Table341011121318[[#This Row],[  85-89]]-Table3410111213[[#This Row],[  85-89]]</f>
        <v>-8</v>
      </c>
      <c r="T16" s="5">
        <f>Table341011121318[[#This Row],[  90+]]-Table3410111213[[#This Row],[  90+]]</f>
        <v>3</v>
      </c>
    </row>
    <row r="17" spans="1:20" x14ac:dyDescent="0.2">
      <c r="A17" s="12" t="s">
        <v>6</v>
      </c>
      <c r="B17" s="6" t="s">
        <v>22</v>
      </c>
      <c r="C17" s="5">
        <f>Table341011121318[[#This Row],[Total]]-Table3410111213[[#This Row],[Total]]</f>
        <v>12513</v>
      </c>
      <c r="D17" s="5">
        <f>Table341011121318[[#This Row],[  5-11]]-Table3410111213[[#This Row],[  5-11]]</f>
        <v>6368</v>
      </c>
      <c r="E17" s="5">
        <f>Table341011121318[[#This Row],[  12-17]]-Table3410111213[[#This Row],[  12-17]]</f>
        <v>1696</v>
      </c>
      <c r="F17" s="5">
        <f>Table341011121318[[#This Row],[  18-24]]-Table3410111213[[#This Row],[  18-24]]</f>
        <v>972</v>
      </c>
      <c r="G17" s="5">
        <f>Table341011121318[[#This Row],[  25-29 ]]-Table3410111213[[#This Row],[  25-29 ]]</f>
        <v>921</v>
      </c>
      <c r="H17" s="5">
        <f>Table341011121318[[#This Row],[  30-34]]-Table3410111213[[#This Row],[  30-34]]</f>
        <v>604</v>
      </c>
      <c r="I17" s="5">
        <f>Table341011121318[[#This Row],[  35-39]]-Table3410111213[[#This Row],[  35-39]]</f>
        <v>390</v>
      </c>
      <c r="J17" s="5">
        <f>Table341011121318[[#This Row],[  40-44]]-Table3410111213[[#This Row],[  40-44]]</f>
        <v>497</v>
      </c>
      <c r="K17" s="5">
        <f>Table341011121318[[#This Row],[  45-49 ]]-Table3410111213[[#This Row],[  45-49 ]]</f>
        <v>391</v>
      </c>
      <c r="L17" s="5">
        <f>Table341011121318[[#This Row],[  50-54]]-Table3410111213[[#This Row],[  50-54]]</f>
        <v>232</v>
      </c>
      <c r="M17" s="5">
        <f>Table341011121318[[#This Row],[  55-59]]-Table3410111213[[#This Row],[  55-59]]</f>
        <v>293</v>
      </c>
      <c r="N17" s="5">
        <f>Table341011121318[[#This Row],[  60-64]]-Table3410111213[[#This Row],[  60-64]]</f>
        <v>156</v>
      </c>
      <c r="O17" s="5">
        <f>Table341011121318[[#This Row],[  65-69]]-Table3410111213[[#This Row],[  65-69]]</f>
        <v>43</v>
      </c>
      <c r="P17" s="5">
        <f>Table341011121318[[#This Row],[  70-74]]-Table3410111213[[#This Row],[  70-74]]</f>
        <v>-37</v>
      </c>
      <c r="Q17" s="5">
        <f>Table341011121318[[#This Row],[  75-79]]-Table3410111213[[#This Row],[  75-79]]</f>
        <v>-10</v>
      </c>
      <c r="R17" s="5">
        <f>Table341011121318[[#This Row],[  80-84]]-Table3410111213[[#This Row],[  80-84]]</f>
        <v>2</v>
      </c>
      <c r="S17" s="5">
        <f>Table341011121318[[#This Row],[  85-89]]-Table3410111213[[#This Row],[  85-89]]</f>
        <v>21</v>
      </c>
      <c r="T17" s="5">
        <f>Table341011121318[[#This Row],[  90+]]-Table3410111213[[#This Row],[  90+]]</f>
        <v>-26</v>
      </c>
    </row>
    <row r="18" spans="1:20" x14ac:dyDescent="0.2">
      <c r="A18" s="9" t="s">
        <v>6</v>
      </c>
      <c r="B18" s="6" t="s">
        <v>0</v>
      </c>
      <c r="C18" s="5">
        <f>Table341011121318[[#This Row],[Total]]-Table3410111213[[#This Row],[Total]]</f>
        <v>6344</v>
      </c>
      <c r="D18" s="5">
        <f>Table341011121318[[#This Row],[  5-11]]-Table3410111213[[#This Row],[  5-11]]</f>
        <v>3268</v>
      </c>
      <c r="E18" s="5">
        <f>Table341011121318[[#This Row],[  12-17]]-Table3410111213[[#This Row],[  12-17]]</f>
        <v>899</v>
      </c>
      <c r="F18" s="5">
        <f>Table341011121318[[#This Row],[  18-24]]-Table3410111213[[#This Row],[  18-24]]</f>
        <v>437</v>
      </c>
      <c r="G18" s="5">
        <f>Table341011121318[[#This Row],[  25-29 ]]-Table3410111213[[#This Row],[  25-29 ]]</f>
        <v>475</v>
      </c>
      <c r="H18" s="5">
        <f>Table341011121318[[#This Row],[  30-34]]-Table3410111213[[#This Row],[  30-34]]</f>
        <v>282</v>
      </c>
      <c r="I18" s="5">
        <f>Table341011121318[[#This Row],[  35-39]]-Table3410111213[[#This Row],[  35-39]]</f>
        <v>221</v>
      </c>
      <c r="J18" s="5">
        <f>Table341011121318[[#This Row],[  40-44]]-Table3410111213[[#This Row],[  40-44]]</f>
        <v>210</v>
      </c>
      <c r="K18" s="5">
        <f>Table341011121318[[#This Row],[  45-49 ]]-Table3410111213[[#This Row],[  45-49 ]]</f>
        <v>195</v>
      </c>
      <c r="L18" s="5">
        <f>Table341011121318[[#This Row],[  50-54]]-Table3410111213[[#This Row],[  50-54]]</f>
        <v>113</v>
      </c>
      <c r="M18" s="5">
        <f>Table341011121318[[#This Row],[  55-59]]-Table3410111213[[#This Row],[  55-59]]</f>
        <v>170</v>
      </c>
      <c r="N18" s="5">
        <f>Table341011121318[[#This Row],[  60-64]]-Table3410111213[[#This Row],[  60-64]]</f>
        <v>83</v>
      </c>
      <c r="O18" s="5">
        <f>Table341011121318[[#This Row],[  65-69]]-Table3410111213[[#This Row],[  65-69]]</f>
        <v>0</v>
      </c>
      <c r="P18" s="5">
        <f>Table341011121318[[#This Row],[  70-74]]-Table3410111213[[#This Row],[  70-74]]</f>
        <v>-2</v>
      </c>
      <c r="Q18" s="5">
        <f>Table341011121318[[#This Row],[  75-79]]-Table3410111213[[#This Row],[  75-79]]</f>
        <v>-11</v>
      </c>
      <c r="R18" s="5">
        <f>Table341011121318[[#This Row],[  80-84]]-Table3410111213[[#This Row],[  80-84]]</f>
        <v>4</v>
      </c>
      <c r="S18" s="5">
        <f>Table341011121318[[#This Row],[  85-89]]-Table3410111213[[#This Row],[  85-89]]</f>
        <v>7</v>
      </c>
      <c r="T18" s="5">
        <f>Table341011121318[[#This Row],[  90+]]-Table3410111213[[#This Row],[  90+]]</f>
        <v>-7</v>
      </c>
    </row>
    <row r="19" spans="1:20" x14ac:dyDescent="0.2">
      <c r="A19" s="9" t="s">
        <v>6</v>
      </c>
      <c r="B19" s="6" t="s">
        <v>23</v>
      </c>
      <c r="C19" s="5">
        <f>Table341011121318[[#This Row],[Total]]-Table3410111213[[#This Row],[Total]]</f>
        <v>6169</v>
      </c>
      <c r="D19" s="5">
        <f>Table341011121318[[#This Row],[  5-11]]-Table3410111213[[#This Row],[  5-11]]</f>
        <v>3100</v>
      </c>
      <c r="E19" s="5">
        <f>Table341011121318[[#This Row],[  12-17]]-Table3410111213[[#This Row],[  12-17]]</f>
        <v>797</v>
      </c>
      <c r="F19" s="5">
        <f>Table341011121318[[#This Row],[  18-24]]-Table3410111213[[#This Row],[  18-24]]</f>
        <v>535</v>
      </c>
      <c r="G19" s="5">
        <f>Table341011121318[[#This Row],[  25-29 ]]-Table3410111213[[#This Row],[  25-29 ]]</f>
        <v>446</v>
      </c>
      <c r="H19" s="5">
        <f>Table341011121318[[#This Row],[  30-34]]-Table3410111213[[#This Row],[  30-34]]</f>
        <v>322</v>
      </c>
      <c r="I19" s="5">
        <f>Table341011121318[[#This Row],[  35-39]]-Table3410111213[[#This Row],[  35-39]]</f>
        <v>169</v>
      </c>
      <c r="J19" s="5">
        <f>Table341011121318[[#This Row],[  40-44]]-Table3410111213[[#This Row],[  40-44]]</f>
        <v>287</v>
      </c>
      <c r="K19" s="5">
        <f>Table341011121318[[#This Row],[  45-49 ]]-Table3410111213[[#This Row],[  45-49 ]]</f>
        <v>196</v>
      </c>
      <c r="L19" s="5">
        <f>Table341011121318[[#This Row],[  50-54]]-Table3410111213[[#This Row],[  50-54]]</f>
        <v>119</v>
      </c>
      <c r="M19" s="5">
        <f>Table341011121318[[#This Row],[  55-59]]-Table3410111213[[#This Row],[  55-59]]</f>
        <v>123</v>
      </c>
      <c r="N19" s="5">
        <f>Table341011121318[[#This Row],[  60-64]]-Table3410111213[[#This Row],[  60-64]]</f>
        <v>73</v>
      </c>
      <c r="O19" s="5">
        <f>Table341011121318[[#This Row],[  65-69]]-Table3410111213[[#This Row],[  65-69]]</f>
        <v>43</v>
      </c>
      <c r="P19" s="5">
        <f>Table341011121318[[#This Row],[  70-74]]-Table3410111213[[#This Row],[  70-74]]</f>
        <v>-35</v>
      </c>
      <c r="Q19" s="5">
        <f>Table341011121318[[#This Row],[  75-79]]-Table3410111213[[#This Row],[  75-79]]</f>
        <v>1</v>
      </c>
      <c r="R19" s="5">
        <f>Table341011121318[[#This Row],[  80-84]]-Table3410111213[[#This Row],[  80-84]]</f>
        <v>-2</v>
      </c>
      <c r="S19" s="5">
        <f>Table341011121318[[#This Row],[  85-89]]-Table3410111213[[#This Row],[  85-89]]</f>
        <v>14</v>
      </c>
      <c r="T19" s="5">
        <f>Table341011121318[[#This Row],[  90+]]-Table3410111213[[#This Row],[  90+]]</f>
        <v>-19</v>
      </c>
    </row>
    <row r="20" spans="1:20" x14ac:dyDescent="0.2">
      <c r="A20" s="9" t="s">
        <v>7</v>
      </c>
      <c r="B20" s="6" t="s">
        <v>22</v>
      </c>
      <c r="C20" s="5">
        <f>Table341011121318[[#This Row],[Total]]-Table3410111213[[#This Row],[Total]]</f>
        <v>5485</v>
      </c>
      <c r="D20" s="5">
        <f>Table341011121318[[#This Row],[  5-11]]-Table3410111213[[#This Row],[  5-11]]</f>
        <v>2939</v>
      </c>
      <c r="E20" s="5">
        <f>Table341011121318[[#This Row],[  12-17]]-Table3410111213[[#This Row],[  12-17]]</f>
        <v>668</v>
      </c>
      <c r="F20" s="5">
        <f>Table341011121318[[#This Row],[  18-24]]-Table3410111213[[#This Row],[  18-24]]</f>
        <v>369</v>
      </c>
      <c r="G20" s="5">
        <f>Table341011121318[[#This Row],[  25-29 ]]-Table3410111213[[#This Row],[  25-29 ]]</f>
        <v>400</v>
      </c>
      <c r="H20" s="5">
        <f>Table341011121318[[#This Row],[  30-34]]-Table3410111213[[#This Row],[  30-34]]</f>
        <v>282</v>
      </c>
      <c r="I20" s="5">
        <f>Table341011121318[[#This Row],[  35-39]]-Table3410111213[[#This Row],[  35-39]]</f>
        <v>237</v>
      </c>
      <c r="J20" s="5">
        <f>Table341011121318[[#This Row],[  40-44]]-Table3410111213[[#This Row],[  40-44]]</f>
        <v>204</v>
      </c>
      <c r="K20" s="5">
        <f>Table341011121318[[#This Row],[  45-49 ]]-Table3410111213[[#This Row],[  45-49 ]]</f>
        <v>170</v>
      </c>
      <c r="L20" s="5">
        <f>Table341011121318[[#This Row],[  50-54]]-Table3410111213[[#This Row],[  50-54]]</f>
        <v>96</v>
      </c>
      <c r="M20" s="5">
        <f>Table341011121318[[#This Row],[  55-59]]-Table3410111213[[#This Row],[  55-59]]</f>
        <v>94</v>
      </c>
      <c r="N20" s="5">
        <f>Table341011121318[[#This Row],[  60-64]]-Table3410111213[[#This Row],[  60-64]]</f>
        <v>58</v>
      </c>
      <c r="O20" s="5">
        <f>Table341011121318[[#This Row],[  65-69]]-Table3410111213[[#This Row],[  65-69]]</f>
        <v>-11</v>
      </c>
      <c r="P20" s="5">
        <f>Table341011121318[[#This Row],[  70-74]]-Table3410111213[[#This Row],[  70-74]]</f>
        <v>-7</v>
      </c>
      <c r="Q20" s="5">
        <f>Table341011121318[[#This Row],[  75-79]]-Table3410111213[[#This Row],[  75-79]]</f>
        <v>-20</v>
      </c>
      <c r="R20" s="5">
        <f>Table341011121318[[#This Row],[  80-84]]-Table3410111213[[#This Row],[  80-84]]</f>
        <v>3</v>
      </c>
      <c r="S20" s="5">
        <f>Table341011121318[[#This Row],[  85-89]]-Table3410111213[[#This Row],[  85-89]]</f>
        <v>3</v>
      </c>
      <c r="T20" s="5">
        <f>Table341011121318[[#This Row],[  90+]]-Table3410111213[[#This Row],[  90+]]</f>
        <v>0</v>
      </c>
    </row>
    <row r="21" spans="1:20" x14ac:dyDescent="0.2">
      <c r="A21" s="9" t="s">
        <v>7</v>
      </c>
      <c r="B21" s="6" t="s">
        <v>0</v>
      </c>
      <c r="C21" s="5">
        <f>Table341011121318[[#This Row],[Total]]-Table3410111213[[#This Row],[Total]]</f>
        <v>2770</v>
      </c>
      <c r="D21" s="5">
        <f>Table341011121318[[#This Row],[  5-11]]-Table3410111213[[#This Row],[  5-11]]</f>
        <v>1539</v>
      </c>
      <c r="E21" s="5">
        <f>Table341011121318[[#This Row],[  12-17]]-Table3410111213[[#This Row],[  12-17]]</f>
        <v>360</v>
      </c>
      <c r="F21" s="5">
        <f>Table341011121318[[#This Row],[  18-24]]-Table3410111213[[#This Row],[  18-24]]</f>
        <v>196</v>
      </c>
      <c r="G21" s="5">
        <f>Table341011121318[[#This Row],[  25-29 ]]-Table3410111213[[#This Row],[  25-29 ]]</f>
        <v>185</v>
      </c>
      <c r="H21" s="5">
        <f>Table341011121318[[#This Row],[  30-34]]-Table3410111213[[#This Row],[  30-34]]</f>
        <v>139</v>
      </c>
      <c r="I21" s="5">
        <f>Table341011121318[[#This Row],[  35-39]]-Table3410111213[[#This Row],[  35-39]]</f>
        <v>77</v>
      </c>
      <c r="J21" s="5">
        <f>Table341011121318[[#This Row],[  40-44]]-Table3410111213[[#This Row],[  40-44]]</f>
        <v>117</v>
      </c>
      <c r="K21" s="5">
        <f>Table341011121318[[#This Row],[  45-49 ]]-Table3410111213[[#This Row],[  45-49 ]]</f>
        <v>66</v>
      </c>
      <c r="L21" s="5">
        <f>Table341011121318[[#This Row],[  50-54]]-Table3410111213[[#This Row],[  50-54]]</f>
        <v>48</v>
      </c>
      <c r="M21" s="5">
        <f>Table341011121318[[#This Row],[  55-59]]-Table3410111213[[#This Row],[  55-59]]</f>
        <v>48</v>
      </c>
      <c r="N21" s="5">
        <f>Table341011121318[[#This Row],[  60-64]]-Table3410111213[[#This Row],[  60-64]]</f>
        <v>22</v>
      </c>
      <c r="O21" s="5">
        <f>Table341011121318[[#This Row],[  65-69]]-Table3410111213[[#This Row],[  65-69]]</f>
        <v>-8</v>
      </c>
      <c r="P21" s="5">
        <f>Table341011121318[[#This Row],[  70-74]]-Table3410111213[[#This Row],[  70-74]]</f>
        <v>-4</v>
      </c>
      <c r="Q21" s="5">
        <f>Table341011121318[[#This Row],[  75-79]]-Table3410111213[[#This Row],[  75-79]]</f>
        <v>-15</v>
      </c>
      <c r="R21" s="5">
        <f>Table341011121318[[#This Row],[  80-84]]-Table3410111213[[#This Row],[  80-84]]</f>
        <v>1</v>
      </c>
      <c r="S21" s="5">
        <f>Table341011121318[[#This Row],[  85-89]]-Table3410111213[[#This Row],[  85-89]]</f>
        <v>-1</v>
      </c>
      <c r="T21" s="5">
        <f>Table341011121318[[#This Row],[  90+]]-Table3410111213[[#This Row],[  90+]]</f>
        <v>0</v>
      </c>
    </row>
    <row r="22" spans="1:20" x14ac:dyDescent="0.2">
      <c r="A22" s="9" t="s">
        <v>7</v>
      </c>
      <c r="B22" s="6" t="s">
        <v>23</v>
      </c>
      <c r="C22" s="5">
        <f>Table341011121318[[#This Row],[Total]]-Table3410111213[[#This Row],[Total]]</f>
        <v>2715</v>
      </c>
      <c r="D22" s="5">
        <f>Table341011121318[[#This Row],[  5-11]]-Table3410111213[[#This Row],[  5-11]]</f>
        <v>1400</v>
      </c>
      <c r="E22" s="5">
        <f>Table341011121318[[#This Row],[  12-17]]-Table3410111213[[#This Row],[  12-17]]</f>
        <v>308</v>
      </c>
      <c r="F22" s="5">
        <f>Table341011121318[[#This Row],[  18-24]]-Table3410111213[[#This Row],[  18-24]]</f>
        <v>173</v>
      </c>
      <c r="G22" s="5">
        <f>Table341011121318[[#This Row],[  25-29 ]]-Table3410111213[[#This Row],[  25-29 ]]</f>
        <v>215</v>
      </c>
      <c r="H22" s="5">
        <f>Table341011121318[[#This Row],[  30-34]]-Table3410111213[[#This Row],[  30-34]]</f>
        <v>143</v>
      </c>
      <c r="I22" s="5">
        <f>Table341011121318[[#This Row],[  35-39]]-Table3410111213[[#This Row],[  35-39]]</f>
        <v>160</v>
      </c>
      <c r="J22" s="5">
        <f>Table341011121318[[#This Row],[  40-44]]-Table3410111213[[#This Row],[  40-44]]</f>
        <v>87</v>
      </c>
      <c r="K22" s="5">
        <f>Table341011121318[[#This Row],[  45-49 ]]-Table3410111213[[#This Row],[  45-49 ]]</f>
        <v>104</v>
      </c>
      <c r="L22" s="5">
        <f>Table341011121318[[#This Row],[  50-54]]-Table3410111213[[#This Row],[  50-54]]</f>
        <v>48</v>
      </c>
      <c r="M22" s="5">
        <f>Table341011121318[[#This Row],[  55-59]]-Table3410111213[[#This Row],[  55-59]]</f>
        <v>46</v>
      </c>
      <c r="N22" s="5">
        <f>Table341011121318[[#This Row],[  60-64]]-Table3410111213[[#This Row],[  60-64]]</f>
        <v>36</v>
      </c>
      <c r="O22" s="5">
        <f>Table341011121318[[#This Row],[  65-69]]-Table3410111213[[#This Row],[  65-69]]</f>
        <v>-3</v>
      </c>
      <c r="P22" s="5">
        <f>Table341011121318[[#This Row],[  70-74]]-Table3410111213[[#This Row],[  70-74]]</f>
        <v>-3</v>
      </c>
      <c r="Q22" s="5">
        <f>Table341011121318[[#This Row],[  75-79]]-Table3410111213[[#This Row],[  75-79]]</f>
        <v>-5</v>
      </c>
      <c r="R22" s="5">
        <f>Table341011121318[[#This Row],[  80-84]]-Table3410111213[[#This Row],[  80-84]]</f>
        <v>2</v>
      </c>
      <c r="S22" s="5">
        <f>Table341011121318[[#This Row],[  85-89]]-Table3410111213[[#This Row],[  85-89]]</f>
        <v>4</v>
      </c>
      <c r="T22" s="5">
        <f>Table341011121318[[#This Row],[  90+]]-Table3410111213[[#This Row],[  90+]]</f>
        <v>0</v>
      </c>
    </row>
    <row r="23" spans="1:20" x14ac:dyDescent="0.2">
      <c r="A23" s="9" t="s">
        <v>8</v>
      </c>
      <c r="B23" s="6" t="s">
        <v>22</v>
      </c>
      <c r="C23" s="5">
        <f>Table341011121318[[#This Row],[Total]]-Table3410111213[[#This Row],[Total]]</f>
        <v>11172</v>
      </c>
      <c r="D23" s="5">
        <f>Table341011121318[[#This Row],[  5-11]]-Table3410111213[[#This Row],[  5-11]]</f>
        <v>5340</v>
      </c>
      <c r="E23" s="5">
        <f>Table341011121318[[#This Row],[  12-17]]-Table3410111213[[#This Row],[  12-17]]</f>
        <v>1546</v>
      </c>
      <c r="F23" s="5">
        <f>Table341011121318[[#This Row],[  18-24]]-Table3410111213[[#This Row],[  18-24]]</f>
        <v>936</v>
      </c>
      <c r="G23" s="5">
        <f>Table341011121318[[#This Row],[  25-29 ]]-Table3410111213[[#This Row],[  25-29 ]]</f>
        <v>720</v>
      </c>
      <c r="H23" s="5">
        <f>Table341011121318[[#This Row],[  30-34]]-Table3410111213[[#This Row],[  30-34]]</f>
        <v>748</v>
      </c>
      <c r="I23" s="5">
        <f>Table341011121318[[#This Row],[  35-39]]-Table3410111213[[#This Row],[  35-39]]</f>
        <v>389</v>
      </c>
      <c r="J23" s="5">
        <f>Table341011121318[[#This Row],[  40-44]]-Table3410111213[[#This Row],[  40-44]]</f>
        <v>377</v>
      </c>
      <c r="K23" s="5">
        <f>Table341011121318[[#This Row],[  45-49 ]]-Table3410111213[[#This Row],[  45-49 ]]</f>
        <v>401</v>
      </c>
      <c r="L23" s="5">
        <f>Table341011121318[[#This Row],[  50-54]]-Table3410111213[[#This Row],[  50-54]]</f>
        <v>283</v>
      </c>
      <c r="M23" s="5">
        <f>Table341011121318[[#This Row],[  55-59]]-Table3410111213[[#This Row],[  55-59]]</f>
        <v>248</v>
      </c>
      <c r="N23" s="5">
        <f>Table341011121318[[#This Row],[  60-64]]-Table3410111213[[#This Row],[  60-64]]</f>
        <v>142</v>
      </c>
      <c r="O23" s="5">
        <f>Table341011121318[[#This Row],[  65-69]]-Table3410111213[[#This Row],[  65-69]]</f>
        <v>10</v>
      </c>
      <c r="P23" s="5">
        <f>Table341011121318[[#This Row],[  70-74]]-Table3410111213[[#This Row],[  70-74]]</f>
        <v>14</v>
      </c>
      <c r="Q23" s="5">
        <f>Table341011121318[[#This Row],[  75-79]]-Table3410111213[[#This Row],[  75-79]]</f>
        <v>7</v>
      </c>
      <c r="R23" s="5">
        <f>Table341011121318[[#This Row],[  80-84]]-Table3410111213[[#This Row],[  80-84]]</f>
        <v>5</v>
      </c>
      <c r="S23" s="5">
        <f>Table341011121318[[#This Row],[  85-89]]-Table3410111213[[#This Row],[  85-89]]</f>
        <v>3</v>
      </c>
      <c r="T23" s="5">
        <f>Table341011121318[[#This Row],[  90+]]-Table3410111213[[#This Row],[  90+]]</f>
        <v>3</v>
      </c>
    </row>
    <row r="24" spans="1:20" x14ac:dyDescent="0.2">
      <c r="A24" s="9" t="s">
        <v>8</v>
      </c>
      <c r="B24" s="6" t="s">
        <v>0</v>
      </c>
      <c r="C24" s="5">
        <f>Table341011121318[[#This Row],[Total]]-Table3410111213[[#This Row],[Total]]</f>
        <v>5701</v>
      </c>
      <c r="D24" s="5">
        <f>Table341011121318[[#This Row],[  5-11]]-Table3410111213[[#This Row],[  5-11]]</f>
        <v>2801</v>
      </c>
      <c r="E24" s="5">
        <f>Table341011121318[[#This Row],[  12-17]]-Table3410111213[[#This Row],[  12-17]]</f>
        <v>840</v>
      </c>
      <c r="F24" s="5">
        <f>Table341011121318[[#This Row],[  18-24]]-Table3410111213[[#This Row],[  18-24]]</f>
        <v>463</v>
      </c>
      <c r="G24" s="5">
        <f>Table341011121318[[#This Row],[  25-29 ]]-Table3410111213[[#This Row],[  25-29 ]]</f>
        <v>377</v>
      </c>
      <c r="H24" s="5">
        <f>Table341011121318[[#This Row],[  30-34]]-Table3410111213[[#This Row],[  30-34]]</f>
        <v>333</v>
      </c>
      <c r="I24" s="5">
        <f>Table341011121318[[#This Row],[  35-39]]-Table3410111213[[#This Row],[  35-39]]</f>
        <v>187</v>
      </c>
      <c r="J24" s="5">
        <f>Table341011121318[[#This Row],[  40-44]]-Table3410111213[[#This Row],[  40-44]]</f>
        <v>189</v>
      </c>
      <c r="K24" s="5">
        <f>Table341011121318[[#This Row],[  45-49 ]]-Table3410111213[[#This Row],[  45-49 ]]</f>
        <v>205</v>
      </c>
      <c r="L24" s="5">
        <f>Table341011121318[[#This Row],[  50-54]]-Table3410111213[[#This Row],[  50-54]]</f>
        <v>131</v>
      </c>
      <c r="M24" s="5">
        <f>Table341011121318[[#This Row],[  55-59]]-Table3410111213[[#This Row],[  55-59]]</f>
        <v>140</v>
      </c>
      <c r="N24" s="5">
        <f>Table341011121318[[#This Row],[  60-64]]-Table3410111213[[#This Row],[  60-64]]</f>
        <v>41</v>
      </c>
      <c r="O24" s="5">
        <f>Table341011121318[[#This Row],[  65-69]]-Table3410111213[[#This Row],[  65-69]]</f>
        <v>-14</v>
      </c>
      <c r="P24" s="5">
        <f>Table341011121318[[#This Row],[  70-74]]-Table3410111213[[#This Row],[  70-74]]</f>
        <v>4</v>
      </c>
      <c r="Q24" s="5">
        <f>Table341011121318[[#This Row],[  75-79]]-Table3410111213[[#This Row],[  75-79]]</f>
        <v>4</v>
      </c>
      <c r="R24" s="5">
        <f>Table341011121318[[#This Row],[  80-84]]-Table3410111213[[#This Row],[  80-84]]</f>
        <v>-2</v>
      </c>
      <c r="S24" s="5">
        <f>Table341011121318[[#This Row],[  85-89]]-Table3410111213[[#This Row],[  85-89]]</f>
        <v>5</v>
      </c>
      <c r="T24" s="5">
        <f>Table341011121318[[#This Row],[  90+]]-Table3410111213[[#This Row],[  90+]]</f>
        <v>-3</v>
      </c>
    </row>
    <row r="25" spans="1:20" x14ac:dyDescent="0.2">
      <c r="A25" s="9" t="s">
        <v>8</v>
      </c>
      <c r="B25" s="6" t="s">
        <v>23</v>
      </c>
      <c r="C25" s="5">
        <f>Table341011121318[[#This Row],[Total]]-Table3410111213[[#This Row],[Total]]</f>
        <v>5471</v>
      </c>
      <c r="D25" s="5">
        <f>Table341011121318[[#This Row],[  5-11]]-Table3410111213[[#This Row],[  5-11]]</f>
        <v>2539</v>
      </c>
      <c r="E25" s="5">
        <f>Table341011121318[[#This Row],[  12-17]]-Table3410111213[[#This Row],[  12-17]]</f>
        <v>706</v>
      </c>
      <c r="F25" s="5">
        <f>Table341011121318[[#This Row],[  18-24]]-Table3410111213[[#This Row],[  18-24]]</f>
        <v>473</v>
      </c>
      <c r="G25" s="5">
        <f>Table341011121318[[#This Row],[  25-29 ]]-Table3410111213[[#This Row],[  25-29 ]]</f>
        <v>343</v>
      </c>
      <c r="H25" s="5">
        <f>Table341011121318[[#This Row],[  30-34]]-Table3410111213[[#This Row],[  30-34]]</f>
        <v>415</v>
      </c>
      <c r="I25" s="5">
        <f>Table341011121318[[#This Row],[  35-39]]-Table3410111213[[#This Row],[  35-39]]</f>
        <v>202</v>
      </c>
      <c r="J25" s="5">
        <f>Table341011121318[[#This Row],[  40-44]]-Table3410111213[[#This Row],[  40-44]]</f>
        <v>188</v>
      </c>
      <c r="K25" s="5">
        <f>Table341011121318[[#This Row],[  45-49 ]]-Table3410111213[[#This Row],[  45-49 ]]</f>
        <v>196</v>
      </c>
      <c r="L25" s="5">
        <f>Table341011121318[[#This Row],[  50-54]]-Table3410111213[[#This Row],[  50-54]]</f>
        <v>152</v>
      </c>
      <c r="M25" s="5">
        <f>Table341011121318[[#This Row],[  55-59]]-Table3410111213[[#This Row],[  55-59]]</f>
        <v>108</v>
      </c>
      <c r="N25" s="5">
        <f>Table341011121318[[#This Row],[  60-64]]-Table3410111213[[#This Row],[  60-64]]</f>
        <v>101</v>
      </c>
      <c r="O25" s="5">
        <f>Table341011121318[[#This Row],[  65-69]]-Table3410111213[[#This Row],[  65-69]]</f>
        <v>24</v>
      </c>
      <c r="P25" s="5">
        <f>Table341011121318[[#This Row],[  70-74]]-Table3410111213[[#This Row],[  70-74]]</f>
        <v>10</v>
      </c>
      <c r="Q25" s="5">
        <f>Table341011121318[[#This Row],[  75-79]]-Table3410111213[[#This Row],[  75-79]]</f>
        <v>3</v>
      </c>
      <c r="R25" s="5">
        <f>Table341011121318[[#This Row],[  80-84]]-Table3410111213[[#This Row],[  80-84]]</f>
        <v>7</v>
      </c>
      <c r="S25" s="5">
        <f>Table341011121318[[#This Row],[  85-89]]-Table3410111213[[#This Row],[  85-89]]</f>
        <v>-2</v>
      </c>
      <c r="T25" s="5">
        <f>Table341011121318[[#This Row],[  90+]]-Table3410111213[[#This Row],[  90+]]</f>
        <v>6</v>
      </c>
    </row>
    <row r="26" spans="1:20" x14ac:dyDescent="0.2">
      <c r="A26" s="9" t="s">
        <v>9</v>
      </c>
      <c r="B26" s="6" t="s">
        <v>22</v>
      </c>
      <c r="C26" s="5">
        <f>Table341011121318[[#This Row],[Total]]-Table3410111213[[#This Row],[Total]]</f>
        <v>8616</v>
      </c>
      <c r="D26" s="5">
        <f>Table341011121318[[#This Row],[  5-11]]-Table3410111213[[#This Row],[  5-11]]</f>
        <v>4810</v>
      </c>
      <c r="E26" s="5">
        <f>Table341011121318[[#This Row],[  12-17]]-Table3410111213[[#This Row],[  12-17]]</f>
        <v>1105</v>
      </c>
      <c r="F26" s="5">
        <f>Table341011121318[[#This Row],[  18-24]]-Table3410111213[[#This Row],[  18-24]]</f>
        <v>668</v>
      </c>
      <c r="G26" s="5">
        <f>Table341011121318[[#This Row],[  25-29 ]]-Table3410111213[[#This Row],[  25-29 ]]</f>
        <v>505</v>
      </c>
      <c r="H26" s="5">
        <f>Table341011121318[[#This Row],[  30-34]]-Table3410111213[[#This Row],[  30-34]]</f>
        <v>404</v>
      </c>
      <c r="I26" s="5">
        <f>Table341011121318[[#This Row],[  35-39]]-Table3410111213[[#This Row],[  35-39]]</f>
        <v>293</v>
      </c>
      <c r="J26" s="5">
        <f>Table341011121318[[#This Row],[  40-44]]-Table3410111213[[#This Row],[  40-44]]</f>
        <v>228</v>
      </c>
      <c r="K26" s="5">
        <f>Table341011121318[[#This Row],[  45-49 ]]-Table3410111213[[#This Row],[  45-49 ]]</f>
        <v>260</v>
      </c>
      <c r="L26" s="5">
        <f>Table341011121318[[#This Row],[  50-54]]-Table3410111213[[#This Row],[  50-54]]</f>
        <v>156</v>
      </c>
      <c r="M26" s="5">
        <f>Table341011121318[[#This Row],[  55-59]]-Table3410111213[[#This Row],[  55-59]]</f>
        <v>184</v>
      </c>
      <c r="N26" s="5">
        <f>Table341011121318[[#This Row],[  60-64]]-Table3410111213[[#This Row],[  60-64]]</f>
        <v>-4</v>
      </c>
      <c r="O26" s="5">
        <f>Table341011121318[[#This Row],[  65-69]]-Table3410111213[[#This Row],[  65-69]]</f>
        <v>23</v>
      </c>
      <c r="P26" s="5">
        <f>Table341011121318[[#This Row],[  70-74]]-Table3410111213[[#This Row],[  70-74]]</f>
        <v>-3</v>
      </c>
      <c r="Q26" s="5">
        <f>Table341011121318[[#This Row],[  75-79]]-Table3410111213[[#This Row],[  75-79]]</f>
        <v>-14</v>
      </c>
      <c r="R26" s="5">
        <f>Table341011121318[[#This Row],[  80-84]]-Table3410111213[[#This Row],[  80-84]]</f>
        <v>-12</v>
      </c>
      <c r="S26" s="5">
        <f>Table341011121318[[#This Row],[  85-89]]-Table3410111213[[#This Row],[  85-89]]</f>
        <v>11</v>
      </c>
      <c r="T26" s="5">
        <f>Table341011121318[[#This Row],[  90+]]-Table3410111213[[#This Row],[  90+]]</f>
        <v>2</v>
      </c>
    </row>
    <row r="27" spans="1:20" x14ac:dyDescent="0.2">
      <c r="A27" s="9" t="s">
        <v>9</v>
      </c>
      <c r="B27" s="6" t="s">
        <v>0</v>
      </c>
      <c r="C27" s="5">
        <f>Table341011121318[[#This Row],[Total]]-Table3410111213[[#This Row],[Total]]</f>
        <v>4302</v>
      </c>
      <c r="D27" s="5">
        <f>Table341011121318[[#This Row],[  5-11]]-Table3410111213[[#This Row],[  5-11]]</f>
        <v>2451</v>
      </c>
      <c r="E27" s="5">
        <f>Table341011121318[[#This Row],[  12-17]]-Table3410111213[[#This Row],[  12-17]]</f>
        <v>604</v>
      </c>
      <c r="F27" s="5">
        <f>Table341011121318[[#This Row],[  18-24]]-Table3410111213[[#This Row],[  18-24]]</f>
        <v>344</v>
      </c>
      <c r="G27" s="5">
        <f>Table341011121318[[#This Row],[  25-29 ]]-Table3410111213[[#This Row],[  25-29 ]]</f>
        <v>260</v>
      </c>
      <c r="H27" s="5">
        <f>Table341011121318[[#This Row],[  30-34]]-Table3410111213[[#This Row],[  30-34]]</f>
        <v>182</v>
      </c>
      <c r="I27" s="5">
        <f>Table341011121318[[#This Row],[  35-39]]-Table3410111213[[#This Row],[  35-39]]</f>
        <v>117</v>
      </c>
      <c r="J27" s="5">
        <f>Table341011121318[[#This Row],[  40-44]]-Table3410111213[[#This Row],[  40-44]]</f>
        <v>118</v>
      </c>
      <c r="K27" s="5">
        <f>Table341011121318[[#This Row],[  45-49 ]]-Table3410111213[[#This Row],[  45-49 ]]</f>
        <v>123</v>
      </c>
      <c r="L27" s="5">
        <f>Table341011121318[[#This Row],[  50-54]]-Table3410111213[[#This Row],[  50-54]]</f>
        <v>70</v>
      </c>
      <c r="M27" s="5">
        <f>Table341011121318[[#This Row],[  55-59]]-Table3410111213[[#This Row],[  55-59]]</f>
        <v>62</v>
      </c>
      <c r="N27" s="5">
        <f>Table341011121318[[#This Row],[  60-64]]-Table3410111213[[#This Row],[  60-64]]</f>
        <v>-4</v>
      </c>
      <c r="O27" s="5">
        <f>Table341011121318[[#This Row],[  65-69]]-Table3410111213[[#This Row],[  65-69]]</f>
        <v>5</v>
      </c>
      <c r="P27" s="5">
        <f>Table341011121318[[#This Row],[  70-74]]-Table3410111213[[#This Row],[  70-74]]</f>
        <v>-20</v>
      </c>
      <c r="Q27" s="5">
        <f>Table341011121318[[#This Row],[  75-79]]-Table3410111213[[#This Row],[  75-79]]</f>
        <v>-7</v>
      </c>
      <c r="R27" s="5">
        <f>Table341011121318[[#This Row],[  80-84]]-Table3410111213[[#This Row],[  80-84]]</f>
        <v>-3</v>
      </c>
      <c r="S27" s="5">
        <f>Table341011121318[[#This Row],[  85-89]]-Table3410111213[[#This Row],[  85-89]]</f>
        <v>-1</v>
      </c>
      <c r="T27" s="5">
        <f>Table341011121318[[#This Row],[  90+]]-Table3410111213[[#This Row],[  90+]]</f>
        <v>1</v>
      </c>
    </row>
    <row r="28" spans="1:20" x14ac:dyDescent="0.2">
      <c r="A28" s="9" t="s">
        <v>9</v>
      </c>
      <c r="B28" s="6" t="s">
        <v>23</v>
      </c>
      <c r="C28" s="5">
        <f>Table341011121318[[#This Row],[Total]]-Table3410111213[[#This Row],[Total]]</f>
        <v>4314</v>
      </c>
      <c r="D28" s="5">
        <f>Table341011121318[[#This Row],[  5-11]]-Table3410111213[[#This Row],[  5-11]]</f>
        <v>2359</v>
      </c>
      <c r="E28" s="5">
        <f>Table341011121318[[#This Row],[  12-17]]-Table3410111213[[#This Row],[  12-17]]</f>
        <v>501</v>
      </c>
      <c r="F28" s="5">
        <f>Table341011121318[[#This Row],[  18-24]]-Table3410111213[[#This Row],[  18-24]]</f>
        <v>324</v>
      </c>
      <c r="G28" s="5">
        <f>Table341011121318[[#This Row],[  25-29 ]]-Table3410111213[[#This Row],[  25-29 ]]</f>
        <v>245</v>
      </c>
      <c r="H28" s="5">
        <f>Table341011121318[[#This Row],[  30-34]]-Table3410111213[[#This Row],[  30-34]]</f>
        <v>222</v>
      </c>
      <c r="I28" s="5">
        <f>Table341011121318[[#This Row],[  35-39]]-Table3410111213[[#This Row],[  35-39]]</f>
        <v>176</v>
      </c>
      <c r="J28" s="5">
        <f>Table341011121318[[#This Row],[  40-44]]-Table3410111213[[#This Row],[  40-44]]</f>
        <v>110</v>
      </c>
      <c r="K28" s="5">
        <f>Table341011121318[[#This Row],[  45-49 ]]-Table3410111213[[#This Row],[  45-49 ]]</f>
        <v>137</v>
      </c>
      <c r="L28" s="5">
        <f>Table341011121318[[#This Row],[  50-54]]-Table3410111213[[#This Row],[  50-54]]</f>
        <v>86</v>
      </c>
      <c r="M28" s="5">
        <f>Table341011121318[[#This Row],[  55-59]]-Table3410111213[[#This Row],[  55-59]]</f>
        <v>122</v>
      </c>
      <c r="N28" s="5">
        <f>Table341011121318[[#This Row],[  60-64]]-Table3410111213[[#This Row],[  60-64]]</f>
        <v>0</v>
      </c>
      <c r="O28" s="5">
        <f>Table341011121318[[#This Row],[  65-69]]-Table3410111213[[#This Row],[  65-69]]</f>
        <v>18</v>
      </c>
      <c r="P28" s="5">
        <f>Table341011121318[[#This Row],[  70-74]]-Table3410111213[[#This Row],[  70-74]]</f>
        <v>17</v>
      </c>
      <c r="Q28" s="5">
        <f>Table341011121318[[#This Row],[  75-79]]-Table3410111213[[#This Row],[  75-79]]</f>
        <v>-7</v>
      </c>
      <c r="R28" s="5">
        <f>Table341011121318[[#This Row],[  80-84]]-Table3410111213[[#This Row],[  80-84]]</f>
        <v>-9</v>
      </c>
      <c r="S28" s="5">
        <f>Table341011121318[[#This Row],[  85-89]]-Table3410111213[[#This Row],[  85-89]]</f>
        <v>12</v>
      </c>
      <c r="T28" s="5">
        <f>Table341011121318[[#This Row],[  90+]]-Table3410111213[[#This Row],[  90+]]</f>
        <v>1</v>
      </c>
    </row>
    <row r="29" spans="1:20" x14ac:dyDescent="0.2">
      <c r="A29" s="9" t="s">
        <v>10</v>
      </c>
      <c r="B29" s="6" t="s">
        <v>22</v>
      </c>
      <c r="C29" s="5">
        <f>Table341011121318[[#This Row],[Total]]-Table3410111213[[#This Row],[Total]]</f>
        <v>4240</v>
      </c>
      <c r="D29" s="5">
        <f>Table341011121318[[#This Row],[  5-11]]-Table3410111213[[#This Row],[  5-11]]</f>
        <v>2184</v>
      </c>
      <c r="E29" s="5">
        <f>Table341011121318[[#This Row],[  12-17]]-Table3410111213[[#This Row],[  12-17]]</f>
        <v>537</v>
      </c>
      <c r="F29" s="5">
        <f>Table341011121318[[#This Row],[  18-24]]-Table3410111213[[#This Row],[  18-24]]</f>
        <v>309</v>
      </c>
      <c r="G29" s="5">
        <f>Table341011121318[[#This Row],[  25-29 ]]-Table3410111213[[#This Row],[  25-29 ]]</f>
        <v>286</v>
      </c>
      <c r="H29" s="5">
        <f>Table341011121318[[#This Row],[  30-34]]-Table3410111213[[#This Row],[  30-34]]</f>
        <v>202</v>
      </c>
      <c r="I29" s="5">
        <f>Table341011121318[[#This Row],[  35-39]]-Table3410111213[[#This Row],[  35-39]]</f>
        <v>172</v>
      </c>
      <c r="J29" s="5">
        <f>Table341011121318[[#This Row],[  40-44]]-Table3410111213[[#This Row],[  40-44]]</f>
        <v>136</v>
      </c>
      <c r="K29" s="5">
        <f>Table341011121318[[#This Row],[  45-49 ]]-Table3410111213[[#This Row],[  45-49 ]]</f>
        <v>169</v>
      </c>
      <c r="L29" s="5">
        <f>Table341011121318[[#This Row],[  50-54]]-Table3410111213[[#This Row],[  50-54]]</f>
        <v>111</v>
      </c>
      <c r="M29" s="5">
        <f>Table341011121318[[#This Row],[  55-59]]-Table3410111213[[#This Row],[  55-59]]</f>
        <v>87</v>
      </c>
      <c r="N29" s="5">
        <f>Table341011121318[[#This Row],[  60-64]]-Table3410111213[[#This Row],[  60-64]]</f>
        <v>39</v>
      </c>
      <c r="O29" s="5">
        <f>Table341011121318[[#This Row],[  65-69]]-Table3410111213[[#This Row],[  65-69]]</f>
        <v>-2</v>
      </c>
      <c r="P29" s="5">
        <f>Table341011121318[[#This Row],[  70-74]]-Table3410111213[[#This Row],[  70-74]]</f>
        <v>1</v>
      </c>
      <c r="Q29" s="5">
        <f>Table341011121318[[#This Row],[  75-79]]-Table3410111213[[#This Row],[  75-79]]</f>
        <v>10</v>
      </c>
      <c r="R29" s="5">
        <f>Table341011121318[[#This Row],[  80-84]]-Table3410111213[[#This Row],[  80-84]]</f>
        <v>-3</v>
      </c>
      <c r="S29" s="5">
        <f>Table341011121318[[#This Row],[  85-89]]-Table3410111213[[#This Row],[  85-89]]</f>
        <v>1</v>
      </c>
      <c r="T29" s="5">
        <f>Table341011121318[[#This Row],[  90+]]-Table3410111213[[#This Row],[  90+]]</f>
        <v>1</v>
      </c>
    </row>
    <row r="30" spans="1:20" x14ac:dyDescent="0.2">
      <c r="A30" s="9" t="s">
        <v>10</v>
      </c>
      <c r="B30" s="6" t="s">
        <v>0</v>
      </c>
      <c r="C30" s="5">
        <f>Table341011121318[[#This Row],[Total]]-Table3410111213[[#This Row],[Total]]</f>
        <v>2168</v>
      </c>
      <c r="D30" s="5">
        <f>Table341011121318[[#This Row],[  5-11]]-Table3410111213[[#This Row],[  5-11]]</f>
        <v>1152</v>
      </c>
      <c r="E30" s="5">
        <f>Table341011121318[[#This Row],[  12-17]]-Table3410111213[[#This Row],[  12-17]]</f>
        <v>288</v>
      </c>
      <c r="F30" s="5">
        <f>Table341011121318[[#This Row],[  18-24]]-Table3410111213[[#This Row],[  18-24]]</f>
        <v>144</v>
      </c>
      <c r="G30" s="5">
        <f>Table341011121318[[#This Row],[  25-29 ]]-Table3410111213[[#This Row],[  25-29 ]]</f>
        <v>149</v>
      </c>
      <c r="H30" s="5">
        <f>Table341011121318[[#This Row],[  30-34]]-Table3410111213[[#This Row],[  30-34]]</f>
        <v>93</v>
      </c>
      <c r="I30" s="5">
        <f>Table341011121318[[#This Row],[  35-39]]-Table3410111213[[#This Row],[  35-39]]</f>
        <v>85</v>
      </c>
      <c r="J30" s="5">
        <f>Table341011121318[[#This Row],[  40-44]]-Table3410111213[[#This Row],[  40-44]]</f>
        <v>66</v>
      </c>
      <c r="K30" s="5">
        <f>Table341011121318[[#This Row],[  45-49 ]]-Table3410111213[[#This Row],[  45-49 ]]</f>
        <v>93</v>
      </c>
      <c r="L30" s="5">
        <f>Table341011121318[[#This Row],[  50-54]]-Table3410111213[[#This Row],[  50-54]]</f>
        <v>56</v>
      </c>
      <c r="M30" s="5">
        <f>Table341011121318[[#This Row],[  55-59]]-Table3410111213[[#This Row],[  55-59]]</f>
        <v>45</v>
      </c>
      <c r="N30" s="5">
        <f>Table341011121318[[#This Row],[  60-64]]-Table3410111213[[#This Row],[  60-64]]</f>
        <v>6</v>
      </c>
      <c r="O30" s="5">
        <f>Table341011121318[[#This Row],[  65-69]]-Table3410111213[[#This Row],[  65-69]]</f>
        <v>-6</v>
      </c>
      <c r="P30" s="5">
        <f>Table341011121318[[#This Row],[  70-74]]-Table3410111213[[#This Row],[  70-74]]</f>
        <v>-9</v>
      </c>
      <c r="Q30" s="5">
        <f>Table341011121318[[#This Row],[  75-79]]-Table3410111213[[#This Row],[  75-79]]</f>
        <v>11</v>
      </c>
      <c r="R30" s="5">
        <f>Table341011121318[[#This Row],[  80-84]]-Table3410111213[[#This Row],[  80-84]]</f>
        <v>-5</v>
      </c>
      <c r="S30" s="5">
        <f>Table341011121318[[#This Row],[  85-89]]-Table3410111213[[#This Row],[  85-89]]</f>
        <v>0</v>
      </c>
      <c r="T30" s="5">
        <f>Table341011121318[[#This Row],[  90+]]-Table3410111213[[#This Row],[  90+]]</f>
        <v>0</v>
      </c>
    </row>
    <row r="31" spans="1:20" x14ac:dyDescent="0.2">
      <c r="A31" s="9" t="s">
        <v>10</v>
      </c>
      <c r="B31" s="6" t="s">
        <v>23</v>
      </c>
      <c r="C31" s="5">
        <f>Table341011121318[[#This Row],[Total]]-Table3410111213[[#This Row],[Total]]</f>
        <v>2072</v>
      </c>
      <c r="D31" s="5">
        <f>Table341011121318[[#This Row],[  5-11]]-Table3410111213[[#This Row],[  5-11]]</f>
        <v>1032</v>
      </c>
      <c r="E31" s="5">
        <f>Table341011121318[[#This Row],[  12-17]]-Table3410111213[[#This Row],[  12-17]]</f>
        <v>249</v>
      </c>
      <c r="F31" s="5">
        <f>Table341011121318[[#This Row],[  18-24]]-Table3410111213[[#This Row],[  18-24]]</f>
        <v>165</v>
      </c>
      <c r="G31" s="5">
        <f>Table341011121318[[#This Row],[  25-29 ]]-Table3410111213[[#This Row],[  25-29 ]]</f>
        <v>137</v>
      </c>
      <c r="H31" s="5">
        <f>Table341011121318[[#This Row],[  30-34]]-Table3410111213[[#This Row],[  30-34]]</f>
        <v>109</v>
      </c>
      <c r="I31" s="5">
        <f>Table341011121318[[#This Row],[  35-39]]-Table3410111213[[#This Row],[  35-39]]</f>
        <v>87</v>
      </c>
      <c r="J31" s="5">
        <f>Table341011121318[[#This Row],[  40-44]]-Table3410111213[[#This Row],[  40-44]]</f>
        <v>70</v>
      </c>
      <c r="K31" s="5">
        <f>Table341011121318[[#This Row],[  45-49 ]]-Table3410111213[[#This Row],[  45-49 ]]</f>
        <v>76</v>
      </c>
      <c r="L31" s="5">
        <f>Table341011121318[[#This Row],[  50-54]]-Table3410111213[[#This Row],[  50-54]]</f>
        <v>55</v>
      </c>
      <c r="M31" s="5">
        <f>Table341011121318[[#This Row],[  55-59]]-Table3410111213[[#This Row],[  55-59]]</f>
        <v>42</v>
      </c>
      <c r="N31" s="5">
        <f>Table341011121318[[#This Row],[  60-64]]-Table3410111213[[#This Row],[  60-64]]</f>
        <v>33</v>
      </c>
      <c r="O31" s="5">
        <f>Table341011121318[[#This Row],[  65-69]]-Table3410111213[[#This Row],[  65-69]]</f>
        <v>4</v>
      </c>
      <c r="P31" s="5">
        <f>Table341011121318[[#This Row],[  70-74]]-Table3410111213[[#This Row],[  70-74]]</f>
        <v>10</v>
      </c>
      <c r="Q31" s="5">
        <f>Table341011121318[[#This Row],[  75-79]]-Table3410111213[[#This Row],[  75-79]]</f>
        <v>-1</v>
      </c>
      <c r="R31" s="5">
        <f>Table341011121318[[#This Row],[  80-84]]-Table3410111213[[#This Row],[  80-84]]</f>
        <v>2</v>
      </c>
      <c r="S31" s="5">
        <f>Table341011121318[[#This Row],[  85-89]]-Table3410111213[[#This Row],[  85-89]]</f>
        <v>1</v>
      </c>
      <c r="T31" s="5">
        <f>Table341011121318[[#This Row],[  90+]]-Table3410111213[[#This Row],[  90+]]</f>
        <v>1</v>
      </c>
    </row>
    <row r="32" spans="1:20" x14ac:dyDescent="0.2">
      <c r="A32" s="9" t="s">
        <v>11</v>
      </c>
      <c r="B32" s="6" t="s">
        <v>22</v>
      </c>
      <c r="C32" s="5">
        <f>Table341011121318[[#This Row],[Total]]-Table3410111213[[#This Row],[Total]]</f>
        <v>21326</v>
      </c>
      <c r="D32" s="5">
        <f>Table341011121318[[#This Row],[  5-11]]-Table3410111213[[#This Row],[  5-11]]</f>
        <v>9798</v>
      </c>
      <c r="E32" s="5">
        <f>Table341011121318[[#This Row],[  12-17]]-Table3410111213[[#This Row],[  12-17]]</f>
        <v>2841</v>
      </c>
      <c r="F32" s="5">
        <f>Table341011121318[[#This Row],[  18-24]]-Table3410111213[[#This Row],[  18-24]]</f>
        <v>1896</v>
      </c>
      <c r="G32" s="5">
        <f>Table341011121318[[#This Row],[  25-29 ]]-Table3410111213[[#This Row],[  25-29 ]]</f>
        <v>1323</v>
      </c>
      <c r="H32" s="5">
        <f>Table341011121318[[#This Row],[  30-34]]-Table3410111213[[#This Row],[  30-34]]</f>
        <v>1313</v>
      </c>
      <c r="I32" s="5">
        <f>Table341011121318[[#This Row],[  35-39]]-Table3410111213[[#This Row],[  35-39]]</f>
        <v>676</v>
      </c>
      <c r="J32" s="5">
        <f>Table341011121318[[#This Row],[  40-44]]-Table3410111213[[#This Row],[  40-44]]</f>
        <v>742</v>
      </c>
      <c r="K32" s="5">
        <f>Table341011121318[[#This Row],[  45-49 ]]-Table3410111213[[#This Row],[  45-49 ]]</f>
        <v>776</v>
      </c>
      <c r="L32" s="5">
        <f>Table341011121318[[#This Row],[  50-54]]-Table3410111213[[#This Row],[  50-54]]</f>
        <v>646</v>
      </c>
      <c r="M32" s="5">
        <f>Table341011121318[[#This Row],[  55-59]]-Table3410111213[[#This Row],[  55-59]]</f>
        <v>614</v>
      </c>
      <c r="N32" s="5">
        <f>Table341011121318[[#This Row],[  60-64]]-Table3410111213[[#This Row],[  60-64]]</f>
        <v>288</v>
      </c>
      <c r="O32" s="5">
        <f>Table341011121318[[#This Row],[  65-69]]-Table3410111213[[#This Row],[  65-69]]</f>
        <v>222</v>
      </c>
      <c r="P32" s="5">
        <f>Table341011121318[[#This Row],[  70-74]]-Table3410111213[[#This Row],[  70-74]]</f>
        <v>67</v>
      </c>
      <c r="Q32" s="5">
        <f>Table341011121318[[#This Row],[  75-79]]-Table3410111213[[#This Row],[  75-79]]</f>
        <v>51</v>
      </c>
      <c r="R32" s="5">
        <f>Table341011121318[[#This Row],[  80-84]]-Table3410111213[[#This Row],[  80-84]]</f>
        <v>34</v>
      </c>
      <c r="S32" s="5">
        <f>Table341011121318[[#This Row],[  85-89]]-Table3410111213[[#This Row],[  85-89]]</f>
        <v>21</v>
      </c>
      <c r="T32" s="5">
        <f>Table341011121318[[#This Row],[  90+]]-Table3410111213[[#This Row],[  90+]]</f>
        <v>18</v>
      </c>
    </row>
    <row r="33" spans="1:20" x14ac:dyDescent="0.2">
      <c r="A33" s="9" t="s">
        <v>11</v>
      </c>
      <c r="B33" s="6" t="s">
        <v>0</v>
      </c>
      <c r="C33" s="5">
        <f>Table341011121318[[#This Row],[Total]]-Table3410111213[[#This Row],[Total]]</f>
        <v>10955</v>
      </c>
      <c r="D33" s="5">
        <f>Table341011121318[[#This Row],[  5-11]]-Table3410111213[[#This Row],[  5-11]]</f>
        <v>5079</v>
      </c>
      <c r="E33" s="5">
        <f>Table341011121318[[#This Row],[  12-17]]-Table3410111213[[#This Row],[  12-17]]</f>
        <v>1478</v>
      </c>
      <c r="F33" s="5">
        <f>Table341011121318[[#This Row],[  18-24]]-Table3410111213[[#This Row],[  18-24]]</f>
        <v>1014</v>
      </c>
      <c r="G33" s="5">
        <f>Table341011121318[[#This Row],[  25-29 ]]-Table3410111213[[#This Row],[  25-29 ]]</f>
        <v>679</v>
      </c>
      <c r="H33" s="5">
        <f>Table341011121318[[#This Row],[  30-34]]-Table3410111213[[#This Row],[  30-34]]</f>
        <v>631</v>
      </c>
      <c r="I33" s="5">
        <f>Table341011121318[[#This Row],[  35-39]]-Table3410111213[[#This Row],[  35-39]]</f>
        <v>362</v>
      </c>
      <c r="J33" s="5">
        <f>Table341011121318[[#This Row],[  40-44]]-Table3410111213[[#This Row],[  40-44]]</f>
        <v>426</v>
      </c>
      <c r="K33" s="5">
        <f>Table341011121318[[#This Row],[  45-49 ]]-Table3410111213[[#This Row],[  45-49 ]]</f>
        <v>354</v>
      </c>
      <c r="L33" s="5">
        <f>Table341011121318[[#This Row],[  50-54]]-Table3410111213[[#This Row],[  50-54]]</f>
        <v>342</v>
      </c>
      <c r="M33" s="5">
        <f>Table341011121318[[#This Row],[  55-59]]-Table3410111213[[#This Row],[  55-59]]</f>
        <v>284</v>
      </c>
      <c r="N33" s="5">
        <f>Table341011121318[[#This Row],[  60-64]]-Table3410111213[[#This Row],[  60-64]]</f>
        <v>148</v>
      </c>
      <c r="O33" s="5">
        <f>Table341011121318[[#This Row],[  65-69]]-Table3410111213[[#This Row],[  65-69]]</f>
        <v>95</v>
      </c>
      <c r="P33" s="5">
        <f>Table341011121318[[#This Row],[  70-74]]-Table3410111213[[#This Row],[  70-74]]</f>
        <v>36</v>
      </c>
      <c r="Q33" s="5">
        <f>Table341011121318[[#This Row],[  75-79]]-Table3410111213[[#This Row],[  75-79]]</f>
        <v>9</v>
      </c>
      <c r="R33" s="5">
        <f>Table341011121318[[#This Row],[  80-84]]-Table3410111213[[#This Row],[  80-84]]</f>
        <v>7</v>
      </c>
      <c r="S33" s="5">
        <f>Table341011121318[[#This Row],[  85-89]]-Table3410111213[[#This Row],[  85-89]]</f>
        <v>9</v>
      </c>
      <c r="T33" s="5">
        <f>Table341011121318[[#This Row],[  90+]]-Table3410111213[[#This Row],[  90+]]</f>
        <v>2</v>
      </c>
    </row>
    <row r="34" spans="1:20" x14ac:dyDescent="0.2">
      <c r="A34" s="9" t="s">
        <v>11</v>
      </c>
      <c r="B34" s="6" t="s">
        <v>23</v>
      </c>
      <c r="C34" s="5">
        <f>Table341011121318[[#This Row],[Total]]-Table3410111213[[#This Row],[Total]]</f>
        <v>10371</v>
      </c>
      <c r="D34" s="5">
        <f>Table341011121318[[#This Row],[  5-11]]-Table3410111213[[#This Row],[  5-11]]</f>
        <v>4719</v>
      </c>
      <c r="E34" s="5">
        <f>Table341011121318[[#This Row],[  12-17]]-Table3410111213[[#This Row],[  12-17]]</f>
        <v>1363</v>
      </c>
      <c r="F34" s="5">
        <f>Table341011121318[[#This Row],[  18-24]]-Table3410111213[[#This Row],[  18-24]]</f>
        <v>882</v>
      </c>
      <c r="G34" s="5">
        <f>Table341011121318[[#This Row],[  25-29 ]]-Table3410111213[[#This Row],[  25-29 ]]</f>
        <v>644</v>
      </c>
      <c r="H34" s="5">
        <f>Table341011121318[[#This Row],[  30-34]]-Table3410111213[[#This Row],[  30-34]]</f>
        <v>682</v>
      </c>
      <c r="I34" s="5">
        <f>Table341011121318[[#This Row],[  35-39]]-Table3410111213[[#This Row],[  35-39]]</f>
        <v>314</v>
      </c>
      <c r="J34" s="5">
        <f>Table341011121318[[#This Row],[  40-44]]-Table3410111213[[#This Row],[  40-44]]</f>
        <v>316</v>
      </c>
      <c r="K34" s="5">
        <f>Table341011121318[[#This Row],[  45-49 ]]-Table3410111213[[#This Row],[  45-49 ]]</f>
        <v>422</v>
      </c>
      <c r="L34" s="5">
        <f>Table341011121318[[#This Row],[  50-54]]-Table3410111213[[#This Row],[  50-54]]</f>
        <v>304</v>
      </c>
      <c r="M34" s="5">
        <f>Table341011121318[[#This Row],[  55-59]]-Table3410111213[[#This Row],[  55-59]]</f>
        <v>330</v>
      </c>
      <c r="N34" s="5">
        <f>Table341011121318[[#This Row],[  60-64]]-Table3410111213[[#This Row],[  60-64]]</f>
        <v>140</v>
      </c>
      <c r="O34" s="5">
        <f>Table341011121318[[#This Row],[  65-69]]-Table3410111213[[#This Row],[  65-69]]</f>
        <v>127</v>
      </c>
      <c r="P34" s="5">
        <f>Table341011121318[[#This Row],[  70-74]]-Table3410111213[[#This Row],[  70-74]]</f>
        <v>31</v>
      </c>
      <c r="Q34" s="5">
        <f>Table341011121318[[#This Row],[  75-79]]-Table3410111213[[#This Row],[  75-79]]</f>
        <v>42</v>
      </c>
      <c r="R34" s="5">
        <f>Table341011121318[[#This Row],[  80-84]]-Table3410111213[[#This Row],[  80-84]]</f>
        <v>27</v>
      </c>
      <c r="S34" s="5">
        <f>Table341011121318[[#This Row],[  85-89]]-Table3410111213[[#This Row],[  85-89]]</f>
        <v>12</v>
      </c>
      <c r="T34" s="5">
        <f>Table341011121318[[#This Row],[  90+]]-Table3410111213[[#This Row],[  90+]]</f>
        <v>16</v>
      </c>
    </row>
    <row r="35" spans="1:20" x14ac:dyDescent="0.2">
      <c r="A35" s="9" t="s">
        <v>12</v>
      </c>
      <c r="B35" s="6" t="s">
        <v>22</v>
      </c>
      <c r="C35" s="5">
        <f>Table341011121318[[#This Row],[Total]]-Table3410111213[[#This Row],[Total]]</f>
        <v>3681</v>
      </c>
      <c r="D35" s="5">
        <f>Table341011121318[[#This Row],[  5-11]]-Table3410111213[[#This Row],[  5-11]]</f>
        <v>44</v>
      </c>
      <c r="E35" s="5">
        <f>Table341011121318[[#This Row],[  12-17]]-Table3410111213[[#This Row],[  12-17]]</f>
        <v>325</v>
      </c>
      <c r="F35" s="5">
        <f>Table341011121318[[#This Row],[  18-24]]-Table3410111213[[#This Row],[  18-24]]</f>
        <v>520</v>
      </c>
      <c r="G35" s="5">
        <f>Table341011121318[[#This Row],[  25-29 ]]-Table3410111213[[#This Row],[  25-29 ]]</f>
        <v>530</v>
      </c>
      <c r="H35" s="5">
        <f>Table341011121318[[#This Row],[  30-34]]-Table3410111213[[#This Row],[  30-34]]</f>
        <v>554</v>
      </c>
      <c r="I35" s="5">
        <f>Table341011121318[[#This Row],[  35-39]]-Table3410111213[[#This Row],[  35-39]]</f>
        <v>388</v>
      </c>
      <c r="J35" s="5">
        <f>Table341011121318[[#This Row],[  40-44]]-Table3410111213[[#This Row],[  40-44]]</f>
        <v>341</v>
      </c>
      <c r="K35" s="5">
        <f>Table341011121318[[#This Row],[  45-49 ]]-Table3410111213[[#This Row],[  45-49 ]]</f>
        <v>319</v>
      </c>
      <c r="L35" s="5">
        <f>Table341011121318[[#This Row],[  50-54]]-Table3410111213[[#This Row],[  50-54]]</f>
        <v>288</v>
      </c>
      <c r="M35" s="5">
        <f>Table341011121318[[#This Row],[  55-59]]-Table3410111213[[#This Row],[  55-59]]</f>
        <v>212</v>
      </c>
      <c r="N35" s="5">
        <f>Table341011121318[[#This Row],[  60-64]]-Table3410111213[[#This Row],[  60-64]]</f>
        <v>166</v>
      </c>
      <c r="O35" s="5">
        <f>Table341011121318[[#This Row],[  65-69]]-Table3410111213[[#This Row],[  65-69]]</f>
        <v>-6</v>
      </c>
      <c r="P35" s="5">
        <f>Table341011121318[[#This Row],[  70-74]]-Table3410111213[[#This Row],[  70-74]]</f>
        <v>0</v>
      </c>
      <c r="Q35" s="5">
        <f>Table341011121318[[#This Row],[  75-79]]-Table3410111213[[#This Row],[  75-79]]</f>
        <v>0</v>
      </c>
      <c r="R35" s="5">
        <f>Table341011121318[[#This Row],[  80-84]]-Table3410111213[[#This Row],[  80-84]]</f>
        <v>0</v>
      </c>
      <c r="S35" s="5">
        <f>Table341011121318[[#This Row],[  85-89]]-Table3410111213[[#This Row],[  85-89]]</f>
        <v>0</v>
      </c>
      <c r="T35" s="5">
        <f>Table341011121318[[#This Row],[  90+]]-Table3410111213[[#This Row],[  90+]]</f>
        <v>0</v>
      </c>
    </row>
    <row r="36" spans="1:20" x14ac:dyDescent="0.2">
      <c r="A36" s="9" t="s">
        <v>12</v>
      </c>
      <c r="B36" s="6" t="s">
        <v>0</v>
      </c>
      <c r="C36" s="5">
        <f>Table341011121318[[#This Row],[Total]]-Table3410111213[[#This Row],[Total]]</f>
        <v>2767</v>
      </c>
      <c r="D36" s="5">
        <f>Table341011121318[[#This Row],[  5-11]]-Table3410111213[[#This Row],[  5-11]]</f>
        <v>0</v>
      </c>
      <c r="E36" s="5">
        <f>Table341011121318[[#This Row],[  12-17]]-Table3410111213[[#This Row],[  12-17]]</f>
        <v>181</v>
      </c>
      <c r="F36" s="5">
        <f>Table341011121318[[#This Row],[  18-24]]-Table3410111213[[#This Row],[  18-24]]</f>
        <v>375</v>
      </c>
      <c r="G36" s="5">
        <f>Table341011121318[[#This Row],[  25-29 ]]-Table3410111213[[#This Row],[  25-29 ]]</f>
        <v>450</v>
      </c>
      <c r="H36" s="5">
        <f>Table341011121318[[#This Row],[  30-34]]-Table3410111213[[#This Row],[  30-34]]</f>
        <v>459</v>
      </c>
      <c r="I36" s="5">
        <f>Table341011121318[[#This Row],[  35-39]]-Table3410111213[[#This Row],[  35-39]]</f>
        <v>329</v>
      </c>
      <c r="J36" s="5">
        <f>Table341011121318[[#This Row],[  40-44]]-Table3410111213[[#This Row],[  40-44]]</f>
        <v>271</v>
      </c>
      <c r="K36" s="5">
        <f>Table341011121318[[#This Row],[  45-49 ]]-Table3410111213[[#This Row],[  45-49 ]]</f>
        <v>221</v>
      </c>
      <c r="L36" s="5">
        <f>Table341011121318[[#This Row],[  50-54]]-Table3410111213[[#This Row],[  50-54]]</f>
        <v>226</v>
      </c>
      <c r="M36" s="5">
        <f>Table341011121318[[#This Row],[  55-59]]-Table3410111213[[#This Row],[  55-59]]</f>
        <v>146</v>
      </c>
      <c r="N36" s="5">
        <f>Table341011121318[[#This Row],[  60-64]]-Table3410111213[[#This Row],[  60-64]]</f>
        <v>109</v>
      </c>
      <c r="O36" s="5">
        <f>Table341011121318[[#This Row],[  65-69]]-Table3410111213[[#This Row],[  65-69]]</f>
        <v>0</v>
      </c>
      <c r="P36" s="5">
        <f>Table341011121318[[#This Row],[  70-74]]-Table3410111213[[#This Row],[  70-74]]</f>
        <v>0</v>
      </c>
      <c r="Q36" s="5">
        <f>Table341011121318[[#This Row],[  75-79]]-Table3410111213[[#This Row],[  75-79]]</f>
        <v>0</v>
      </c>
      <c r="R36" s="5">
        <f>Table341011121318[[#This Row],[  80-84]]-Table3410111213[[#This Row],[  80-84]]</f>
        <v>0</v>
      </c>
      <c r="S36" s="5">
        <f>Table341011121318[[#This Row],[  85-89]]-Table3410111213[[#This Row],[  85-89]]</f>
        <v>0</v>
      </c>
      <c r="T36" s="5">
        <f>Table341011121318[[#This Row],[  90+]]-Table3410111213[[#This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Table341011121318[[#This Row],[Total]]-Table3410111213[[#This Row],[Total]]</f>
        <v>914</v>
      </c>
      <c r="D37" s="5">
        <f>Table341011121318[[#This Row],[  5-11]]-Table3410111213[[#This Row],[  5-11]]</f>
        <v>44</v>
      </c>
      <c r="E37" s="5">
        <f>Table341011121318[[#This Row],[  12-17]]-Table3410111213[[#This Row],[  12-17]]</f>
        <v>144</v>
      </c>
      <c r="F37" s="5">
        <f>Table341011121318[[#This Row],[  18-24]]-Table3410111213[[#This Row],[  18-24]]</f>
        <v>145</v>
      </c>
      <c r="G37" s="5">
        <f>Table341011121318[[#This Row],[  25-29 ]]-Table3410111213[[#This Row],[  25-29 ]]</f>
        <v>80</v>
      </c>
      <c r="H37" s="5">
        <f>Table341011121318[[#This Row],[  30-34]]-Table3410111213[[#This Row],[  30-34]]</f>
        <v>95</v>
      </c>
      <c r="I37" s="5">
        <f>Table341011121318[[#This Row],[  35-39]]-Table3410111213[[#This Row],[  35-39]]</f>
        <v>59</v>
      </c>
      <c r="J37" s="5">
        <f>Table341011121318[[#This Row],[  40-44]]-Table3410111213[[#This Row],[  40-44]]</f>
        <v>70</v>
      </c>
      <c r="K37" s="5">
        <f>Table341011121318[[#This Row],[  45-49 ]]-Table3410111213[[#This Row],[  45-49 ]]</f>
        <v>98</v>
      </c>
      <c r="L37" s="5">
        <f>Table341011121318[[#This Row],[  50-54]]-Table3410111213[[#This Row],[  50-54]]</f>
        <v>62</v>
      </c>
      <c r="M37" s="5">
        <f>Table341011121318[[#This Row],[  55-59]]-Table3410111213[[#This Row],[  55-59]]</f>
        <v>66</v>
      </c>
      <c r="N37" s="5">
        <f>Table341011121318[[#This Row],[  60-64]]-Table3410111213[[#This Row],[  60-64]]</f>
        <v>57</v>
      </c>
      <c r="O37" s="5">
        <f>Table341011121318[[#This Row],[  65-69]]-Table3410111213[[#This Row],[  65-69]]</f>
        <v>-6</v>
      </c>
      <c r="P37" s="5">
        <f>Table341011121318[[#This Row],[  70-74]]-Table3410111213[[#This Row],[  70-74]]</f>
        <v>0</v>
      </c>
      <c r="Q37" s="5">
        <f>Table341011121318[[#This Row],[  75-79]]-Table3410111213[[#This Row],[  75-79]]</f>
        <v>0</v>
      </c>
      <c r="R37" s="5">
        <f>Table341011121318[[#This Row],[  80-84]]-Table3410111213[[#This Row],[  80-84]]</f>
        <v>0</v>
      </c>
      <c r="S37" s="5">
        <f>Table341011121318[[#This Row],[  85-89]]-Table3410111213[[#This Row],[  85-89]]</f>
        <v>0</v>
      </c>
      <c r="T37" s="5">
        <f>Table341011121318[[#This Row],[  90+]]-Table3410111213[[#This Row],[  90+]]</f>
        <v>0</v>
      </c>
    </row>
    <row r="38" spans="1:20" x14ac:dyDescent="0.2">
      <c r="A38" s="9" t="s">
        <v>13</v>
      </c>
      <c r="B38" s="6" t="s">
        <v>22</v>
      </c>
      <c r="C38" s="5">
        <f>Table341011121318[[#This Row],[Total]]-Table3410111213[[#This Row],[Total]]</f>
        <v>1268</v>
      </c>
      <c r="D38" s="5">
        <f>Table341011121318[[#This Row],[  5-11]]-Table3410111213[[#This Row],[  5-11]]</f>
        <v>731</v>
      </c>
      <c r="E38" s="5">
        <f>Table341011121318[[#This Row],[  12-17]]-Table3410111213[[#This Row],[  12-17]]</f>
        <v>143</v>
      </c>
      <c r="F38" s="5">
        <f>Table341011121318[[#This Row],[  18-24]]-Table3410111213[[#This Row],[  18-24]]</f>
        <v>74</v>
      </c>
      <c r="G38" s="5">
        <f>Table341011121318[[#This Row],[  25-29 ]]-Table3410111213[[#This Row],[  25-29 ]]</f>
        <v>83</v>
      </c>
      <c r="H38" s="5">
        <f>Table341011121318[[#This Row],[  30-34]]-Table3410111213[[#This Row],[  30-34]]</f>
        <v>58</v>
      </c>
      <c r="I38" s="5">
        <f>Table341011121318[[#This Row],[  35-39]]-Table3410111213[[#This Row],[  35-39]]</f>
        <v>37</v>
      </c>
      <c r="J38" s="5">
        <f>Table341011121318[[#This Row],[  40-44]]-Table3410111213[[#This Row],[  40-44]]</f>
        <v>39</v>
      </c>
      <c r="K38" s="5">
        <f>Table341011121318[[#This Row],[  45-49 ]]-Table3410111213[[#This Row],[  45-49 ]]</f>
        <v>57</v>
      </c>
      <c r="L38" s="5">
        <f>Table341011121318[[#This Row],[  50-54]]-Table3410111213[[#This Row],[  50-54]]</f>
        <v>21</v>
      </c>
      <c r="M38" s="5">
        <f>Table341011121318[[#This Row],[  55-59]]-Table3410111213[[#This Row],[  55-59]]</f>
        <v>11</v>
      </c>
      <c r="N38" s="5">
        <f>Table341011121318[[#This Row],[  60-64]]-Table3410111213[[#This Row],[  60-64]]</f>
        <v>17</v>
      </c>
      <c r="O38" s="5">
        <f>Table341011121318[[#This Row],[  65-69]]-Table3410111213[[#This Row],[  65-69]]</f>
        <v>-1</v>
      </c>
      <c r="P38" s="5">
        <f>Table341011121318[[#This Row],[  70-74]]-Table3410111213[[#This Row],[  70-74]]</f>
        <v>-1</v>
      </c>
      <c r="Q38" s="5">
        <f>Table341011121318[[#This Row],[  75-79]]-Table3410111213[[#This Row],[  75-79]]</f>
        <v>-10</v>
      </c>
      <c r="R38" s="5">
        <f>Table341011121318[[#This Row],[  80-84]]-Table3410111213[[#This Row],[  80-84]]</f>
        <v>2</v>
      </c>
      <c r="S38" s="5">
        <f>Table341011121318[[#This Row],[  85-89]]-Table3410111213[[#This Row],[  85-89]]</f>
        <v>7</v>
      </c>
      <c r="T38" s="5">
        <f>Table341011121318[[#This Row],[  90+]]-Table3410111213[[#This Row],[  90+]]</f>
        <v>0</v>
      </c>
    </row>
    <row r="39" spans="1:20" x14ac:dyDescent="0.2">
      <c r="A39" s="9" t="s">
        <v>13</v>
      </c>
      <c r="B39" s="6" t="s">
        <v>0</v>
      </c>
      <c r="C39" s="5">
        <f>Table341011121318[[#This Row],[Total]]-Table3410111213[[#This Row],[Total]]</f>
        <v>683</v>
      </c>
      <c r="D39" s="5">
        <f>Table341011121318[[#This Row],[  5-11]]-Table3410111213[[#This Row],[  5-11]]</f>
        <v>381</v>
      </c>
      <c r="E39" s="5">
        <f>Table341011121318[[#This Row],[  12-17]]-Table3410111213[[#This Row],[  12-17]]</f>
        <v>78</v>
      </c>
      <c r="F39" s="5">
        <f>Table341011121318[[#This Row],[  18-24]]-Table3410111213[[#This Row],[  18-24]]</f>
        <v>43</v>
      </c>
      <c r="G39" s="5">
        <f>Table341011121318[[#This Row],[  25-29 ]]-Table3410111213[[#This Row],[  25-29 ]]</f>
        <v>51</v>
      </c>
      <c r="H39" s="5">
        <f>Table341011121318[[#This Row],[  30-34]]-Table3410111213[[#This Row],[  30-34]]</f>
        <v>39</v>
      </c>
      <c r="I39" s="5">
        <f>Table341011121318[[#This Row],[  35-39]]-Table3410111213[[#This Row],[  35-39]]</f>
        <v>21</v>
      </c>
      <c r="J39" s="5">
        <f>Table341011121318[[#This Row],[  40-44]]-Table3410111213[[#This Row],[  40-44]]</f>
        <v>28</v>
      </c>
      <c r="K39" s="5">
        <f>Table341011121318[[#This Row],[  45-49 ]]-Table3410111213[[#This Row],[  45-49 ]]</f>
        <v>25</v>
      </c>
      <c r="L39" s="5">
        <f>Table341011121318[[#This Row],[  50-54]]-Table3410111213[[#This Row],[  50-54]]</f>
        <v>8</v>
      </c>
      <c r="M39" s="5">
        <f>Table341011121318[[#This Row],[  55-59]]-Table3410111213[[#This Row],[  55-59]]</f>
        <v>4</v>
      </c>
      <c r="N39" s="5">
        <f>Table341011121318[[#This Row],[  60-64]]-Table3410111213[[#This Row],[  60-64]]</f>
        <v>5</v>
      </c>
      <c r="O39" s="5">
        <f>Table341011121318[[#This Row],[  65-69]]-Table3410111213[[#This Row],[  65-69]]</f>
        <v>-3</v>
      </c>
      <c r="P39" s="5">
        <f>Table341011121318[[#This Row],[  70-74]]-Table3410111213[[#This Row],[  70-74]]</f>
        <v>-3</v>
      </c>
      <c r="Q39" s="5">
        <f>Table341011121318[[#This Row],[  75-79]]-Table3410111213[[#This Row],[  75-79]]</f>
        <v>-4</v>
      </c>
      <c r="R39" s="5">
        <f>Table341011121318[[#This Row],[  80-84]]-Table3410111213[[#This Row],[  80-84]]</f>
        <v>3</v>
      </c>
      <c r="S39" s="5">
        <f>Table341011121318[[#This Row],[  85-89]]-Table3410111213[[#This Row],[  85-89]]</f>
        <v>7</v>
      </c>
      <c r="T39" s="5">
        <f>Table341011121318[[#This Row],[  90+]]-Table3410111213[[#This Row],[  90+]]</f>
        <v>0</v>
      </c>
    </row>
    <row r="40" spans="1:20" x14ac:dyDescent="0.2">
      <c r="A40" s="9" t="s">
        <v>13</v>
      </c>
      <c r="B40" s="6" t="s">
        <v>23</v>
      </c>
      <c r="C40" s="5">
        <f>Table341011121318[[#This Row],[Total]]-Table3410111213[[#This Row],[Total]]</f>
        <v>585</v>
      </c>
      <c r="D40" s="5">
        <f>Table341011121318[[#This Row],[  5-11]]-Table3410111213[[#This Row],[  5-11]]</f>
        <v>350</v>
      </c>
      <c r="E40" s="5">
        <f>Table341011121318[[#This Row],[  12-17]]-Table3410111213[[#This Row],[  12-17]]</f>
        <v>65</v>
      </c>
      <c r="F40" s="5">
        <f>Table341011121318[[#This Row],[  18-24]]-Table3410111213[[#This Row],[  18-24]]</f>
        <v>31</v>
      </c>
      <c r="G40" s="5">
        <f>Table341011121318[[#This Row],[  25-29 ]]-Table3410111213[[#This Row],[  25-29 ]]</f>
        <v>32</v>
      </c>
      <c r="H40" s="5">
        <f>Table341011121318[[#This Row],[  30-34]]-Table3410111213[[#This Row],[  30-34]]</f>
        <v>19</v>
      </c>
      <c r="I40" s="5">
        <f>Table341011121318[[#This Row],[  35-39]]-Table3410111213[[#This Row],[  35-39]]</f>
        <v>16</v>
      </c>
      <c r="J40" s="5">
        <f>Table341011121318[[#This Row],[  40-44]]-Table3410111213[[#This Row],[  40-44]]</f>
        <v>11</v>
      </c>
      <c r="K40" s="5">
        <f>Table341011121318[[#This Row],[  45-49 ]]-Table3410111213[[#This Row],[  45-49 ]]</f>
        <v>32</v>
      </c>
      <c r="L40" s="5">
        <f>Table341011121318[[#This Row],[  50-54]]-Table3410111213[[#This Row],[  50-54]]</f>
        <v>13</v>
      </c>
      <c r="M40" s="5">
        <f>Table341011121318[[#This Row],[  55-59]]-Table3410111213[[#This Row],[  55-59]]</f>
        <v>7</v>
      </c>
      <c r="N40" s="5">
        <f>Table341011121318[[#This Row],[  60-64]]-Table3410111213[[#This Row],[  60-64]]</f>
        <v>12</v>
      </c>
      <c r="O40" s="5">
        <f>Table341011121318[[#This Row],[  65-69]]-Table3410111213[[#This Row],[  65-69]]</f>
        <v>2</v>
      </c>
      <c r="P40" s="5">
        <f>Table341011121318[[#This Row],[  70-74]]-Table3410111213[[#This Row],[  70-74]]</f>
        <v>2</v>
      </c>
      <c r="Q40" s="5">
        <f>Table341011121318[[#This Row],[  75-79]]-Table3410111213[[#This Row],[  75-79]]</f>
        <v>-6</v>
      </c>
      <c r="R40" s="5">
        <f>Table341011121318[[#This Row],[  80-84]]-Table3410111213[[#This Row],[  80-84]]</f>
        <v>-1</v>
      </c>
      <c r="S40" s="5">
        <f>Table341011121318[[#This Row],[  85-89]]-Table3410111213[[#This Row],[  85-89]]</f>
        <v>0</v>
      </c>
      <c r="T40" s="5">
        <f>Table341011121318[[#This Row],[  90+]]-Table3410111213[[#This Row],[  90+]]</f>
        <v>0</v>
      </c>
    </row>
    <row r="41" spans="1:20" x14ac:dyDescent="0.2">
      <c r="A41" s="9" t="s">
        <v>14</v>
      </c>
      <c r="B41" s="6" t="s">
        <v>22</v>
      </c>
      <c r="C41" s="5">
        <f>Table341011121318[[#This Row],[Total]]-Table3410111213[[#This Row],[Total]]</f>
        <v>7005</v>
      </c>
      <c r="D41" s="5">
        <f>Table341011121318[[#This Row],[  5-11]]-Table3410111213[[#This Row],[  5-11]]</f>
        <v>4100</v>
      </c>
      <c r="E41" s="5">
        <f>Table341011121318[[#This Row],[  12-17]]-Table3410111213[[#This Row],[  12-17]]</f>
        <v>836</v>
      </c>
      <c r="F41" s="5">
        <f>Table341011121318[[#This Row],[  18-24]]-Table3410111213[[#This Row],[  18-24]]</f>
        <v>297</v>
      </c>
      <c r="G41" s="5">
        <f>Table341011121318[[#This Row],[  25-29 ]]-Table3410111213[[#This Row],[  25-29 ]]</f>
        <v>320</v>
      </c>
      <c r="H41" s="5">
        <f>Table341011121318[[#This Row],[  30-34]]-Table3410111213[[#This Row],[  30-34]]</f>
        <v>417</v>
      </c>
      <c r="I41" s="5">
        <f>Table341011121318[[#This Row],[  35-39]]-Table3410111213[[#This Row],[  35-39]]</f>
        <v>314</v>
      </c>
      <c r="J41" s="5">
        <f>Table341011121318[[#This Row],[  40-44]]-Table3410111213[[#This Row],[  40-44]]</f>
        <v>219</v>
      </c>
      <c r="K41" s="5">
        <f>Table341011121318[[#This Row],[  45-49 ]]-Table3410111213[[#This Row],[  45-49 ]]</f>
        <v>153</v>
      </c>
      <c r="L41" s="5">
        <f>Table341011121318[[#This Row],[  50-54]]-Table3410111213[[#This Row],[  50-54]]</f>
        <v>174</v>
      </c>
      <c r="M41" s="5">
        <f>Table341011121318[[#This Row],[  55-59]]-Table3410111213[[#This Row],[  55-59]]</f>
        <v>143</v>
      </c>
      <c r="N41" s="5">
        <f>Table341011121318[[#This Row],[  60-64]]-Table3410111213[[#This Row],[  60-64]]</f>
        <v>25</v>
      </c>
      <c r="O41" s="5">
        <f>Table341011121318[[#This Row],[  65-69]]-Table3410111213[[#This Row],[  65-69]]</f>
        <v>33</v>
      </c>
      <c r="P41" s="5">
        <f>Table341011121318[[#This Row],[  70-74]]-Table3410111213[[#This Row],[  70-74]]</f>
        <v>-8</v>
      </c>
      <c r="Q41" s="5">
        <f>Table341011121318[[#This Row],[  75-79]]-Table3410111213[[#This Row],[  75-79]]</f>
        <v>-16</v>
      </c>
      <c r="R41" s="5">
        <f>Table341011121318[[#This Row],[  80-84]]-Table3410111213[[#This Row],[  80-84]]</f>
        <v>-11</v>
      </c>
      <c r="S41" s="5">
        <f>Table341011121318[[#This Row],[  85-89]]-Table3410111213[[#This Row],[  85-89]]</f>
        <v>7</v>
      </c>
      <c r="T41" s="5">
        <f>Table341011121318[[#This Row],[  90+]]-Table3410111213[[#This Row],[  90+]]</f>
        <v>2</v>
      </c>
    </row>
    <row r="42" spans="1:20" x14ac:dyDescent="0.2">
      <c r="A42" s="9" t="s">
        <v>14</v>
      </c>
      <c r="B42" s="6" t="s">
        <v>0</v>
      </c>
      <c r="C42" s="5">
        <f>Table341011121318[[#This Row],[Total]]-Table3410111213[[#This Row],[Total]]</f>
        <v>3647</v>
      </c>
      <c r="D42" s="5">
        <f>Table341011121318[[#This Row],[  5-11]]-Table3410111213[[#This Row],[  5-11]]</f>
        <v>2101</v>
      </c>
      <c r="E42" s="5">
        <f>Table341011121318[[#This Row],[  12-17]]-Table3410111213[[#This Row],[  12-17]]</f>
        <v>467</v>
      </c>
      <c r="F42" s="5">
        <f>Table341011121318[[#This Row],[  18-24]]-Table3410111213[[#This Row],[  18-24]]</f>
        <v>167</v>
      </c>
      <c r="G42" s="5">
        <f>Table341011121318[[#This Row],[  25-29 ]]-Table3410111213[[#This Row],[  25-29 ]]</f>
        <v>170</v>
      </c>
      <c r="H42" s="5">
        <f>Table341011121318[[#This Row],[  30-34]]-Table3410111213[[#This Row],[  30-34]]</f>
        <v>211</v>
      </c>
      <c r="I42" s="5">
        <f>Table341011121318[[#This Row],[  35-39]]-Table3410111213[[#This Row],[  35-39]]</f>
        <v>172</v>
      </c>
      <c r="J42" s="5">
        <f>Table341011121318[[#This Row],[  40-44]]-Table3410111213[[#This Row],[  40-44]]</f>
        <v>123</v>
      </c>
      <c r="K42" s="5">
        <f>Table341011121318[[#This Row],[  45-49 ]]-Table3410111213[[#This Row],[  45-49 ]]</f>
        <v>71</v>
      </c>
      <c r="L42" s="5">
        <f>Table341011121318[[#This Row],[  50-54]]-Table3410111213[[#This Row],[  50-54]]</f>
        <v>83</v>
      </c>
      <c r="M42" s="5">
        <f>Table341011121318[[#This Row],[  55-59]]-Table3410111213[[#This Row],[  55-59]]</f>
        <v>74</v>
      </c>
      <c r="N42" s="5">
        <f>Table341011121318[[#This Row],[  60-64]]-Table3410111213[[#This Row],[  60-64]]</f>
        <v>1</v>
      </c>
      <c r="O42" s="5">
        <f>Table341011121318[[#This Row],[  65-69]]-Table3410111213[[#This Row],[  65-69]]</f>
        <v>27</v>
      </c>
      <c r="P42" s="5">
        <f>Table341011121318[[#This Row],[  70-74]]-Table3410111213[[#This Row],[  70-74]]</f>
        <v>-13</v>
      </c>
      <c r="Q42" s="5">
        <f>Table341011121318[[#This Row],[  75-79]]-Table3410111213[[#This Row],[  75-79]]</f>
        <v>-6</v>
      </c>
      <c r="R42" s="5">
        <f>Table341011121318[[#This Row],[  80-84]]-Table3410111213[[#This Row],[  80-84]]</f>
        <v>-2</v>
      </c>
      <c r="S42" s="5">
        <f>Table341011121318[[#This Row],[  85-89]]-Table3410111213[[#This Row],[  85-89]]</f>
        <v>1</v>
      </c>
      <c r="T42" s="5">
        <f>Table341011121318[[#This Row],[  90+]]-Table3410111213[[#This Row],[  90+]]</f>
        <v>0</v>
      </c>
    </row>
    <row r="43" spans="1:20" x14ac:dyDescent="0.2">
      <c r="A43" s="9" t="s">
        <v>14</v>
      </c>
      <c r="B43" s="6" t="s">
        <v>23</v>
      </c>
      <c r="C43" s="5">
        <f>Table341011121318[[#This Row],[Total]]-Table3410111213[[#This Row],[Total]]</f>
        <v>3358</v>
      </c>
      <c r="D43" s="5">
        <f>Table341011121318[[#This Row],[  5-11]]-Table3410111213[[#This Row],[  5-11]]</f>
        <v>1999</v>
      </c>
      <c r="E43" s="5">
        <f>Table341011121318[[#This Row],[  12-17]]-Table3410111213[[#This Row],[  12-17]]</f>
        <v>369</v>
      </c>
      <c r="F43" s="5">
        <f>Table341011121318[[#This Row],[  18-24]]-Table3410111213[[#This Row],[  18-24]]</f>
        <v>130</v>
      </c>
      <c r="G43" s="5">
        <f>Table341011121318[[#This Row],[  25-29 ]]-Table3410111213[[#This Row],[  25-29 ]]</f>
        <v>150</v>
      </c>
      <c r="H43" s="5">
        <f>Table341011121318[[#This Row],[  30-34]]-Table3410111213[[#This Row],[  30-34]]</f>
        <v>206</v>
      </c>
      <c r="I43" s="5">
        <f>Table341011121318[[#This Row],[  35-39]]-Table3410111213[[#This Row],[  35-39]]</f>
        <v>142</v>
      </c>
      <c r="J43" s="5">
        <f>Table341011121318[[#This Row],[  40-44]]-Table3410111213[[#This Row],[  40-44]]</f>
        <v>96</v>
      </c>
      <c r="K43" s="5">
        <f>Table341011121318[[#This Row],[  45-49 ]]-Table3410111213[[#This Row],[  45-49 ]]</f>
        <v>82</v>
      </c>
      <c r="L43" s="5">
        <f>Table341011121318[[#This Row],[  50-54]]-Table3410111213[[#This Row],[  50-54]]</f>
        <v>91</v>
      </c>
      <c r="M43" s="5">
        <f>Table341011121318[[#This Row],[  55-59]]-Table3410111213[[#This Row],[  55-59]]</f>
        <v>69</v>
      </c>
      <c r="N43" s="5">
        <f>Table341011121318[[#This Row],[  60-64]]-Table3410111213[[#This Row],[  60-64]]</f>
        <v>24</v>
      </c>
      <c r="O43" s="5">
        <f>Table341011121318[[#This Row],[  65-69]]-Table3410111213[[#This Row],[  65-69]]</f>
        <v>6</v>
      </c>
      <c r="P43" s="5">
        <f>Table341011121318[[#This Row],[  70-74]]-Table3410111213[[#This Row],[  70-74]]</f>
        <v>5</v>
      </c>
      <c r="Q43" s="5">
        <f>Table341011121318[[#This Row],[  75-79]]-Table3410111213[[#This Row],[  75-79]]</f>
        <v>-10</v>
      </c>
      <c r="R43" s="5">
        <f>Table341011121318[[#This Row],[  80-84]]-Table3410111213[[#This Row],[  80-84]]</f>
        <v>-9</v>
      </c>
      <c r="S43" s="5">
        <f>Table341011121318[[#This Row],[  85-89]]-Table3410111213[[#This Row],[  85-89]]</f>
        <v>6</v>
      </c>
      <c r="T43" s="5">
        <f>Table341011121318[[#This Row],[  90+]]-Table3410111213[[#This Row],[  90+]]</f>
        <v>2</v>
      </c>
    </row>
    <row r="44" spans="1:20" x14ac:dyDescent="0.2">
      <c r="A44" s="9" t="s">
        <v>15</v>
      </c>
      <c r="B44" s="6" t="s">
        <v>22</v>
      </c>
      <c r="C44" s="5">
        <f>Table341011121318[[#This Row],[Total]]-Table3410111213[[#This Row],[Total]]</f>
        <v>6284</v>
      </c>
      <c r="D44" s="5">
        <f>Table341011121318[[#This Row],[  5-11]]-Table3410111213[[#This Row],[  5-11]]</f>
        <v>2767</v>
      </c>
      <c r="E44" s="5">
        <f>Table341011121318[[#This Row],[  12-17]]-Table3410111213[[#This Row],[  12-17]]</f>
        <v>860</v>
      </c>
      <c r="F44" s="5">
        <f>Table341011121318[[#This Row],[  18-24]]-Table3410111213[[#This Row],[  18-24]]</f>
        <v>538</v>
      </c>
      <c r="G44" s="5">
        <f>Table341011121318[[#This Row],[  25-29 ]]-Table3410111213[[#This Row],[  25-29 ]]</f>
        <v>472</v>
      </c>
      <c r="H44" s="5">
        <f>Table341011121318[[#This Row],[  30-34]]-Table3410111213[[#This Row],[  30-34]]</f>
        <v>383</v>
      </c>
      <c r="I44" s="5">
        <f>Table341011121318[[#This Row],[  35-39]]-Table3410111213[[#This Row],[  35-39]]</f>
        <v>197</v>
      </c>
      <c r="J44" s="5">
        <f>Table341011121318[[#This Row],[  40-44]]-Table3410111213[[#This Row],[  40-44]]</f>
        <v>243</v>
      </c>
      <c r="K44" s="5">
        <f>Table341011121318[[#This Row],[  45-49 ]]-Table3410111213[[#This Row],[  45-49 ]]</f>
        <v>289</v>
      </c>
      <c r="L44" s="5">
        <f>Table341011121318[[#This Row],[  50-54]]-Table3410111213[[#This Row],[  50-54]]</f>
        <v>193</v>
      </c>
      <c r="M44" s="5">
        <f>Table341011121318[[#This Row],[  55-59]]-Table3410111213[[#This Row],[  55-59]]</f>
        <v>179</v>
      </c>
      <c r="N44" s="5">
        <f>Table341011121318[[#This Row],[  60-64]]-Table3410111213[[#This Row],[  60-64]]</f>
        <v>112</v>
      </c>
      <c r="O44" s="5">
        <f>Table341011121318[[#This Row],[  65-69]]-Table3410111213[[#This Row],[  65-69]]</f>
        <v>57</v>
      </c>
      <c r="P44" s="5">
        <f>Table341011121318[[#This Row],[  70-74]]-Table3410111213[[#This Row],[  70-74]]</f>
        <v>-10</v>
      </c>
      <c r="Q44" s="5">
        <f>Table341011121318[[#This Row],[  75-79]]-Table3410111213[[#This Row],[  75-79]]</f>
        <v>2</v>
      </c>
      <c r="R44" s="5">
        <f>Table341011121318[[#This Row],[  80-84]]-Table3410111213[[#This Row],[  80-84]]</f>
        <v>5</v>
      </c>
      <c r="S44" s="5">
        <f>Table341011121318[[#This Row],[  85-89]]-Table3410111213[[#This Row],[  85-89]]</f>
        <v>-4</v>
      </c>
      <c r="T44" s="5">
        <f>Table341011121318[[#This Row],[  90+]]-Table3410111213[[#This Row],[  90+]]</f>
        <v>1</v>
      </c>
    </row>
    <row r="45" spans="1:20" x14ac:dyDescent="0.2">
      <c r="A45" s="9" t="s">
        <v>15</v>
      </c>
      <c r="B45" s="6" t="s">
        <v>0</v>
      </c>
      <c r="C45" s="5">
        <f>Table341011121318[[#This Row],[Total]]-Table3410111213[[#This Row],[Total]]</f>
        <v>3163</v>
      </c>
      <c r="D45" s="5">
        <f>Table341011121318[[#This Row],[  5-11]]-Table3410111213[[#This Row],[  5-11]]</f>
        <v>1373</v>
      </c>
      <c r="E45" s="5">
        <f>Table341011121318[[#This Row],[  12-17]]-Table3410111213[[#This Row],[  12-17]]</f>
        <v>447</v>
      </c>
      <c r="F45" s="5">
        <f>Table341011121318[[#This Row],[  18-24]]-Table3410111213[[#This Row],[  18-24]]</f>
        <v>266</v>
      </c>
      <c r="G45" s="5">
        <f>Table341011121318[[#This Row],[  25-29 ]]-Table3410111213[[#This Row],[  25-29 ]]</f>
        <v>241</v>
      </c>
      <c r="H45" s="5">
        <f>Table341011121318[[#This Row],[  30-34]]-Table3410111213[[#This Row],[  30-34]]</f>
        <v>194</v>
      </c>
      <c r="I45" s="5">
        <f>Table341011121318[[#This Row],[  35-39]]-Table3410111213[[#This Row],[  35-39]]</f>
        <v>87</v>
      </c>
      <c r="J45" s="5">
        <f>Table341011121318[[#This Row],[  40-44]]-Table3410111213[[#This Row],[  40-44]]</f>
        <v>139</v>
      </c>
      <c r="K45" s="5">
        <f>Table341011121318[[#This Row],[  45-49 ]]-Table3410111213[[#This Row],[  45-49 ]]</f>
        <v>144</v>
      </c>
      <c r="L45" s="5">
        <f>Table341011121318[[#This Row],[  50-54]]-Table3410111213[[#This Row],[  50-54]]</f>
        <v>93</v>
      </c>
      <c r="M45" s="5">
        <f>Table341011121318[[#This Row],[  55-59]]-Table3410111213[[#This Row],[  55-59]]</f>
        <v>83</v>
      </c>
      <c r="N45" s="5">
        <f>Table341011121318[[#This Row],[  60-64]]-Table3410111213[[#This Row],[  60-64]]</f>
        <v>75</v>
      </c>
      <c r="O45" s="5">
        <f>Table341011121318[[#This Row],[  65-69]]-Table3410111213[[#This Row],[  65-69]]</f>
        <v>40</v>
      </c>
      <c r="P45" s="5">
        <f>Table341011121318[[#This Row],[  70-74]]-Table3410111213[[#This Row],[  70-74]]</f>
        <v>-23</v>
      </c>
      <c r="Q45" s="5">
        <f>Table341011121318[[#This Row],[  75-79]]-Table3410111213[[#This Row],[  75-79]]</f>
        <v>7</v>
      </c>
      <c r="R45" s="5">
        <f>Table341011121318[[#This Row],[  80-84]]-Table3410111213[[#This Row],[  80-84]]</f>
        <v>-6</v>
      </c>
      <c r="S45" s="5">
        <f>Table341011121318[[#This Row],[  85-89]]-Table3410111213[[#This Row],[  85-89]]</f>
        <v>1</v>
      </c>
      <c r="T45" s="5">
        <f>Table341011121318[[#This Row],[  90+]]-Table3410111213[[#This Row],[  90+]]</f>
        <v>2</v>
      </c>
    </row>
    <row r="46" spans="1:20" x14ac:dyDescent="0.2">
      <c r="A46" s="9" t="s">
        <v>15</v>
      </c>
      <c r="B46" s="6" t="s">
        <v>23</v>
      </c>
      <c r="C46" s="5">
        <f>Table341011121318[[#This Row],[Total]]-Table3410111213[[#This Row],[Total]]</f>
        <v>3121</v>
      </c>
      <c r="D46" s="5">
        <f>Table341011121318[[#This Row],[  5-11]]-Table3410111213[[#This Row],[  5-11]]</f>
        <v>1394</v>
      </c>
      <c r="E46" s="5">
        <f>Table341011121318[[#This Row],[  12-17]]-Table3410111213[[#This Row],[  12-17]]</f>
        <v>413</v>
      </c>
      <c r="F46" s="5">
        <f>Table341011121318[[#This Row],[  18-24]]-Table3410111213[[#This Row],[  18-24]]</f>
        <v>272</v>
      </c>
      <c r="G46" s="5">
        <f>Table341011121318[[#This Row],[  25-29 ]]-Table3410111213[[#This Row],[  25-29 ]]</f>
        <v>231</v>
      </c>
      <c r="H46" s="5">
        <f>Table341011121318[[#This Row],[  30-34]]-Table3410111213[[#This Row],[  30-34]]</f>
        <v>189</v>
      </c>
      <c r="I46" s="5">
        <f>Table341011121318[[#This Row],[  35-39]]-Table3410111213[[#This Row],[  35-39]]</f>
        <v>110</v>
      </c>
      <c r="J46" s="5">
        <f>Table341011121318[[#This Row],[  40-44]]-Table3410111213[[#This Row],[  40-44]]</f>
        <v>104</v>
      </c>
      <c r="K46" s="5">
        <f>Table341011121318[[#This Row],[  45-49 ]]-Table3410111213[[#This Row],[  45-49 ]]</f>
        <v>145</v>
      </c>
      <c r="L46" s="5">
        <f>Table341011121318[[#This Row],[  50-54]]-Table3410111213[[#This Row],[  50-54]]</f>
        <v>100</v>
      </c>
      <c r="M46" s="5">
        <f>Table341011121318[[#This Row],[  55-59]]-Table3410111213[[#This Row],[  55-59]]</f>
        <v>96</v>
      </c>
      <c r="N46" s="5">
        <f>Table341011121318[[#This Row],[  60-64]]-Table3410111213[[#This Row],[  60-64]]</f>
        <v>37</v>
      </c>
      <c r="O46" s="5">
        <f>Table341011121318[[#This Row],[  65-69]]-Table3410111213[[#This Row],[  65-69]]</f>
        <v>17</v>
      </c>
      <c r="P46" s="5">
        <f>Table341011121318[[#This Row],[  70-74]]-Table3410111213[[#This Row],[  70-74]]</f>
        <v>13</v>
      </c>
      <c r="Q46" s="5">
        <f>Table341011121318[[#This Row],[  75-79]]-Table3410111213[[#This Row],[  75-79]]</f>
        <v>-5</v>
      </c>
      <c r="R46" s="5">
        <f>Table341011121318[[#This Row],[  80-84]]-Table3410111213[[#This Row],[  80-84]]</f>
        <v>11</v>
      </c>
      <c r="S46" s="5">
        <f>Table341011121318[[#This Row],[  85-89]]-Table3410111213[[#This Row],[  85-89]]</f>
        <v>-5</v>
      </c>
      <c r="T46" s="5">
        <f>Table341011121318[[#This Row],[  90+]]-Table3410111213[[#This Row],[  90+]]</f>
        <v>-1</v>
      </c>
    </row>
    <row r="47" spans="1:20" x14ac:dyDescent="0.2">
      <c r="A47" s="9" t="s">
        <v>16</v>
      </c>
      <c r="B47" s="6" t="s">
        <v>22</v>
      </c>
      <c r="C47" s="5">
        <f>Table341011121318[[#This Row],[Total]]-Table3410111213[[#This Row],[Total]]</f>
        <v>6446</v>
      </c>
      <c r="D47" s="5">
        <f>Table341011121318[[#This Row],[  5-11]]-Table3410111213[[#This Row],[  5-11]]</f>
        <v>3469</v>
      </c>
      <c r="E47" s="5">
        <f>Table341011121318[[#This Row],[  12-17]]-Table3410111213[[#This Row],[  12-17]]</f>
        <v>782</v>
      </c>
      <c r="F47" s="5">
        <f>Table341011121318[[#This Row],[  18-24]]-Table3410111213[[#This Row],[  18-24]]</f>
        <v>434</v>
      </c>
      <c r="G47" s="5">
        <f>Table341011121318[[#This Row],[  25-29 ]]-Table3410111213[[#This Row],[  25-29 ]]</f>
        <v>389</v>
      </c>
      <c r="H47" s="5">
        <f>Table341011121318[[#This Row],[  30-34]]-Table3410111213[[#This Row],[  30-34]]</f>
        <v>368</v>
      </c>
      <c r="I47" s="5">
        <f>Table341011121318[[#This Row],[  35-39]]-Table3410111213[[#This Row],[  35-39]]</f>
        <v>244</v>
      </c>
      <c r="J47" s="5">
        <f>Table341011121318[[#This Row],[  40-44]]-Table3410111213[[#This Row],[  40-44]]</f>
        <v>200</v>
      </c>
      <c r="K47" s="5">
        <f>Table341011121318[[#This Row],[  45-49 ]]-Table3410111213[[#This Row],[  45-49 ]]</f>
        <v>199</v>
      </c>
      <c r="L47" s="5">
        <f>Table341011121318[[#This Row],[  50-54]]-Table3410111213[[#This Row],[  50-54]]</f>
        <v>196</v>
      </c>
      <c r="M47" s="5">
        <f>Table341011121318[[#This Row],[  55-59]]-Table3410111213[[#This Row],[  55-59]]</f>
        <v>81</v>
      </c>
      <c r="N47" s="5">
        <f>Table341011121318[[#This Row],[  60-64]]-Table3410111213[[#This Row],[  60-64]]</f>
        <v>58</v>
      </c>
      <c r="O47" s="5">
        <f>Table341011121318[[#This Row],[  65-69]]-Table3410111213[[#This Row],[  65-69]]</f>
        <v>28</v>
      </c>
      <c r="P47" s="5">
        <f>Table341011121318[[#This Row],[  70-74]]-Table3410111213[[#This Row],[  70-74]]</f>
        <v>3</v>
      </c>
      <c r="Q47" s="5">
        <f>Table341011121318[[#This Row],[  75-79]]-Table3410111213[[#This Row],[  75-79]]</f>
        <v>-19</v>
      </c>
      <c r="R47" s="5">
        <f>Table341011121318[[#This Row],[  80-84]]-Table3410111213[[#This Row],[  80-84]]</f>
        <v>15</v>
      </c>
      <c r="S47" s="5">
        <f>Table341011121318[[#This Row],[  85-89]]-Table3410111213[[#This Row],[  85-89]]</f>
        <v>-2</v>
      </c>
      <c r="T47" s="5">
        <f>Table341011121318[[#This Row],[  90+]]-Table3410111213[[#This Row],[  90+]]</f>
        <v>1</v>
      </c>
    </row>
    <row r="48" spans="1:20" x14ac:dyDescent="0.2">
      <c r="A48" s="9" t="s">
        <v>16</v>
      </c>
      <c r="B48" s="6" t="s">
        <v>0</v>
      </c>
      <c r="C48" s="5">
        <f>Table341011121318[[#This Row],[Total]]-Table3410111213[[#This Row],[Total]]</f>
        <v>3179</v>
      </c>
      <c r="D48" s="5">
        <f>Table341011121318[[#This Row],[  5-11]]-Table3410111213[[#This Row],[  5-11]]</f>
        <v>1753</v>
      </c>
      <c r="E48" s="5">
        <f>Table341011121318[[#This Row],[  12-17]]-Table3410111213[[#This Row],[  12-17]]</f>
        <v>417</v>
      </c>
      <c r="F48" s="5">
        <f>Table341011121318[[#This Row],[  18-24]]-Table3410111213[[#This Row],[  18-24]]</f>
        <v>215</v>
      </c>
      <c r="G48" s="5">
        <f>Table341011121318[[#This Row],[  25-29 ]]-Table3410111213[[#This Row],[  25-29 ]]</f>
        <v>167</v>
      </c>
      <c r="H48" s="5">
        <f>Table341011121318[[#This Row],[  30-34]]-Table3410111213[[#This Row],[  30-34]]</f>
        <v>184</v>
      </c>
      <c r="I48" s="5">
        <f>Table341011121318[[#This Row],[  35-39]]-Table3410111213[[#This Row],[  35-39]]</f>
        <v>130</v>
      </c>
      <c r="J48" s="5">
        <f>Table341011121318[[#This Row],[  40-44]]-Table3410111213[[#This Row],[  40-44]]</f>
        <v>92</v>
      </c>
      <c r="K48" s="5">
        <f>Table341011121318[[#This Row],[  45-49 ]]-Table3410111213[[#This Row],[  45-49 ]]</f>
        <v>90</v>
      </c>
      <c r="L48" s="5">
        <f>Table341011121318[[#This Row],[  50-54]]-Table3410111213[[#This Row],[  50-54]]</f>
        <v>81</v>
      </c>
      <c r="M48" s="5">
        <f>Table341011121318[[#This Row],[  55-59]]-Table3410111213[[#This Row],[  55-59]]</f>
        <v>42</v>
      </c>
      <c r="N48" s="5">
        <f>Table341011121318[[#This Row],[  60-64]]-Table3410111213[[#This Row],[  60-64]]</f>
        <v>13</v>
      </c>
      <c r="O48" s="5">
        <f>Table341011121318[[#This Row],[  65-69]]-Table3410111213[[#This Row],[  65-69]]</f>
        <v>9</v>
      </c>
      <c r="P48" s="5">
        <f>Table341011121318[[#This Row],[  70-74]]-Table3410111213[[#This Row],[  70-74]]</f>
        <v>1</v>
      </c>
      <c r="Q48" s="5">
        <f>Table341011121318[[#This Row],[  75-79]]-Table3410111213[[#This Row],[  75-79]]</f>
        <v>-19</v>
      </c>
      <c r="R48" s="5">
        <f>Table341011121318[[#This Row],[  80-84]]-Table3410111213[[#This Row],[  80-84]]</f>
        <v>5</v>
      </c>
      <c r="S48" s="5">
        <f>Table341011121318[[#This Row],[  85-89]]-Table3410111213[[#This Row],[  85-89]]</f>
        <v>-1</v>
      </c>
      <c r="T48" s="5">
        <f>Table341011121318[[#This Row],[  90+]]-Table3410111213[[#This Row],[  90+]]</f>
        <v>0</v>
      </c>
    </row>
    <row r="49" spans="1:21" x14ac:dyDescent="0.2">
      <c r="A49" s="9" t="s">
        <v>16</v>
      </c>
      <c r="B49" s="6" t="s">
        <v>23</v>
      </c>
      <c r="C49" s="5">
        <f>Table341011121318[[#This Row],[Total]]-Table3410111213[[#This Row],[Total]]</f>
        <v>3267</v>
      </c>
      <c r="D49" s="5">
        <f>Table341011121318[[#This Row],[  5-11]]-Table3410111213[[#This Row],[  5-11]]</f>
        <v>1716</v>
      </c>
      <c r="E49" s="5">
        <f>Table341011121318[[#This Row],[  12-17]]-Table3410111213[[#This Row],[  12-17]]</f>
        <v>365</v>
      </c>
      <c r="F49" s="5">
        <f>Table341011121318[[#This Row],[  18-24]]-Table3410111213[[#This Row],[  18-24]]</f>
        <v>219</v>
      </c>
      <c r="G49" s="5">
        <f>Table341011121318[[#This Row],[  25-29 ]]-Table3410111213[[#This Row],[  25-29 ]]</f>
        <v>222</v>
      </c>
      <c r="H49" s="5">
        <f>Table341011121318[[#This Row],[  30-34]]-Table3410111213[[#This Row],[  30-34]]</f>
        <v>184</v>
      </c>
      <c r="I49" s="5">
        <f>Table341011121318[[#This Row],[  35-39]]-Table3410111213[[#This Row],[  35-39]]</f>
        <v>114</v>
      </c>
      <c r="J49" s="5">
        <f>Table341011121318[[#This Row],[  40-44]]-Table3410111213[[#This Row],[  40-44]]</f>
        <v>108</v>
      </c>
      <c r="K49" s="5">
        <f>Table341011121318[[#This Row],[  45-49 ]]-Table3410111213[[#This Row],[  45-49 ]]</f>
        <v>109</v>
      </c>
      <c r="L49" s="5">
        <f>Table341011121318[[#This Row],[  50-54]]-Table3410111213[[#This Row],[  50-54]]</f>
        <v>115</v>
      </c>
      <c r="M49" s="5">
        <f>Table341011121318[[#This Row],[  55-59]]-Table3410111213[[#This Row],[  55-59]]</f>
        <v>39</v>
      </c>
      <c r="N49" s="5">
        <f>Table341011121318[[#This Row],[  60-64]]-Table3410111213[[#This Row],[  60-64]]</f>
        <v>45</v>
      </c>
      <c r="O49" s="5">
        <f>Table341011121318[[#This Row],[  65-69]]-Table3410111213[[#This Row],[  65-69]]</f>
        <v>19</v>
      </c>
      <c r="P49" s="5">
        <f>Table341011121318[[#This Row],[  70-74]]-Table3410111213[[#This Row],[  70-74]]</f>
        <v>2</v>
      </c>
      <c r="Q49" s="5">
        <f>Table341011121318[[#This Row],[  75-79]]-Table3410111213[[#This Row],[  75-79]]</f>
        <v>0</v>
      </c>
      <c r="R49" s="5">
        <f>Table341011121318[[#This Row],[  80-84]]-Table3410111213[[#This Row],[  80-84]]</f>
        <v>10</v>
      </c>
      <c r="S49" s="5">
        <f>Table341011121318[[#This Row],[  85-89]]-Table3410111213[[#This Row],[  85-89]]</f>
        <v>-1</v>
      </c>
      <c r="T49" s="5">
        <f>Table341011121318[[#This Row],[  90+]]-Table3410111213[[#This Row],[  90+]]</f>
        <v>1</v>
      </c>
    </row>
    <row r="50" spans="1:21" x14ac:dyDescent="0.2">
      <c r="A50" s="11" t="s">
        <v>17</v>
      </c>
      <c r="B50" s="6" t="s">
        <v>22</v>
      </c>
      <c r="C50" s="5">
        <f>Table341011121318[[#This Row],[Total]]-Table3410111213[[#This Row],[Total]]</f>
        <v>25746</v>
      </c>
      <c r="D50" s="5">
        <f>Table341011121318[[#This Row],[  5-11]]-Table3410111213[[#This Row],[  5-11]]</f>
        <v>13295</v>
      </c>
      <c r="E50" s="5">
        <f>Table341011121318[[#This Row],[  12-17]]-Table3410111213[[#This Row],[  12-17]]</f>
        <v>3352</v>
      </c>
      <c r="F50" s="5">
        <f>Table341011121318[[#This Row],[  18-24]]-Table3410111213[[#This Row],[  18-24]]</f>
        <v>2017</v>
      </c>
      <c r="G50" s="5">
        <f>Table341011121318[[#This Row],[  25-29 ]]-Table3410111213[[#This Row],[  25-29 ]]</f>
        <v>1665</v>
      </c>
      <c r="H50" s="5">
        <f>Table341011121318[[#This Row],[  30-34]]-Table3410111213[[#This Row],[  30-34]]</f>
        <v>1335</v>
      </c>
      <c r="I50" s="5">
        <f>Table341011121318[[#This Row],[  35-39]]-Table3410111213[[#This Row],[  35-39]]</f>
        <v>832</v>
      </c>
      <c r="J50" s="5">
        <f>Table341011121318[[#This Row],[  40-44]]-Table3410111213[[#This Row],[  40-44]]</f>
        <v>888</v>
      </c>
      <c r="K50" s="5">
        <f>Table341011121318[[#This Row],[  45-49 ]]-Table3410111213[[#This Row],[  45-49 ]]</f>
        <v>733</v>
      </c>
      <c r="L50" s="5">
        <f>Table341011121318[[#This Row],[  50-54]]-Table3410111213[[#This Row],[  50-54]]</f>
        <v>637</v>
      </c>
      <c r="M50" s="5">
        <f>Table341011121318[[#This Row],[  55-59]]-Table3410111213[[#This Row],[  55-59]]</f>
        <v>617</v>
      </c>
      <c r="N50" s="5">
        <f>Table341011121318[[#This Row],[  60-64]]-Table3410111213[[#This Row],[  60-64]]</f>
        <v>199</v>
      </c>
      <c r="O50" s="5">
        <f>Table341011121318[[#This Row],[  65-69]]-Table3410111213[[#This Row],[  65-69]]</f>
        <v>120</v>
      </c>
      <c r="P50" s="5">
        <f>Table341011121318[[#This Row],[  70-74]]-Table3410111213[[#This Row],[  70-74]]</f>
        <v>54</v>
      </c>
      <c r="Q50" s="5">
        <f>Table341011121318[[#This Row],[  75-79]]-Table3410111213[[#This Row],[  75-79]]</f>
        <v>-20</v>
      </c>
      <c r="R50" s="5">
        <f>Table341011121318[[#This Row],[  80-84]]-Table3410111213[[#This Row],[  80-84]]</f>
        <v>-5</v>
      </c>
      <c r="S50" s="5">
        <f>Table341011121318[[#This Row],[  85-89]]-Table3410111213[[#This Row],[  85-89]]</f>
        <v>20</v>
      </c>
      <c r="T50" s="5">
        <f>Table341011121318[[#This Row],[  90+]]-Table3410111213[[#This Row],[  90+]]</f>
        <v>7</v>
      </c>
    </row>
    <row r="51" spans="1:21" x14ac:dyDescent="0.2">
      <c r="A51" s="11" t="s">
        <v>17</v>
      </c>
      <c r="B51" s="6" t="s">
        <v>0</v>
      </c>
      <c r="C51" s="5">
        <f>Table341011121318[[#This Row],[Total]]-Table3410111213[[#This Row],[Total]]</f>
        <v>12986</v>
      </c>
      <c r="D51" s="5">
        <f>Table341011121318[[#This Row],[  5-11]]-Table3410111213[[#This Row],[  5-11]]</f>
        <v>6937</v>
      </c>
      <c r="E51" s="5">
        <f>Table341011121318[[#This Row],[  12-17]]-Table3410111213[[#This Row],[  12-17]]</f>
        <v>1769</v>
      </c>
      <c r="F51" s="5">
        <f>Table341011121318[[#This Row],[  18-24]]-Table3410111213[[#This Row],[  18-24]]</f>
        <v>985</v>
      </c>
      <c r="G51" s="5">
        <f>Table341011121318[[#This Row],[  25-29 ]]-Table3410111213[[#This Row],[  25-29 ]]</f>
        <v>791</v>
      </c>
      <c r="H51" s="5">
        <f>Table341011121318[[#This Row],[  30-34]]-Table3410111213[[#This Row],[  30-34]]</f>
        <v>611</v>
      </c>
      <c r="I51" s="5">
        <f>Table341011121318[[#This Row],[  35-39]]-Table3410111213[[#This Row],[  35-39]]</f>
        <v>438</v>
      </c>
      <c r="J51" s="5">
        <f>Table341011121318[[#This Row],[  40-44]]-Table3410111213[[#This Row],[  40-44]]</f>
        <v>402</v>
      </c>
      <c r="K51" s="5">
        <f>Table341011121318[[#This Row],[  45-49 ]]-Table3410111213[[#This Row],[  45-49 ]]</f>
        <v>339</v>
      </c>
      <c r="L51" s="5">
        <f>Table341011121318[[#This Row],[  50-54]]-Table3410111213[[#This Row],[  50-54]]</f>
        <v>294</v>
      </c>
      <c r="M51" s="5">
        <f>Table341011121318[[#This Row],[  55-59]]-Table3410111213[[#This Row],[  55-59]]</f>
        <v>293</v>
      </c>
      <c r="N51" s="5">
        <f>Table341011121318[[#This Row],[  60-64]]-Table3410111213[[#This Row],[  60-64]]</f>
        <v>58</v>
      </c>
      <c r="O51" s="5">
        <f>Table341011121318[[#This Row],[  65-69]]-Table3410111213[[#This Row],[  65-69]]</f>
        <v>47</v>
      </c>
      <c r="P51" s="5">
        <f>Table341011121318[[#This Row],[  70-74]]-Table3410111213[[#This Row],[  70-74]]</f>
        <v>27</v>
      </c>
      <c r="Q51" s="5">
        <f>Table341011121318[[#This Row],[  75-79]]-Table3410111213[[#This Row],[  75-79]]</f>
        <v>-17</v>
      </c>
      <c r="R51" s="5">
        <f>Table341011121318[[#This Row],[  80-84]]-Table3410111213[[#This Row],[  80-84]]</f>
        <v>9</v>
      </c>
      <c r="S51" s="5">
        <f>Table341011121318[[#This Row],[  85-89]]-Table3410111213[[#This Row],[  85-89]]</f>
        <v>1</v>
      </c>
      <c r="T51" s="5">
        <f>Table341011121318[[#This Row],[  90+]]-Table3410111213[[#This Row],[  90+]]</f>
        <v>2</v>
      </c>
    </row>
    <row r="52" spans="1:21" x14ac:dyDescent="0.2">
      <c r="A52" s="11" t="s">
        <v>17</v>
      </c>
      <c r="B52" s="6" t="s">
        <v>23</v>
      </c>
      <c r="C52" s="5">
        <f>Table341011121318[[#This Row],[Total]]-Table3410111213[[#This Row],[Total]]</f>
        <v>12760</v>
      </c>
      <c r="D52" s="5">
        <f>Table341011121318[[#This Row],[  5-11]]-Table3410111213[[#This Row],[  5-11]]</f>
        <v>6358</v>
      </c>
      <c r="E52" s="5">
        <f>Table341011121318[[#This Row],[  12-17]]-Table3410111213[[#This Row],[  12-17]]</f>
        <v>1583</v>
      </c>
      <c r="F52" s="5">
        <f>Table341011121318[[#This Row],[  18-24]]-Table3410111213[[#This Row],[  18-24]]</f>
        <v>1032</v>
      </c>
      <c r="G52" s="5">
        <f>Table341011121318[[#This Row],[  25-29 ]]-Table3410111213[[#This Row],[  25-29 ]]</f>
        <v>874</v>
      </c>
      <c r="H52" s="5">
        <f>Table341011121318[[#This Row],[  30-34]]-Table3410111213[[#This Row],[  30-34]]</f>
        <v>724</v>
      </c>
      <c r="I52" s="5">
        <f>Table341011121318[[#This Row],[  35-39]]-Table3410111213[[#This Row],[  35-39]]</f>
        <v>394</v>
      </c>
      <c r="J52" s="5">
        <f>Table341011121318[[#This Row],[  40-44]]-Table3410111213[[#This Row],[  40-44]]</f>
        <v>486</v>
      </c>
      <c r="K52" s="5">
        <f>Table341011121318[[#This Row],[  45-49 ]]-Table3410111213[[#This Row],[  45-49 ]]</f>
        <v>394</v>
      </c>
      <c r="L52" s="5">
        <f>Table341011121318[[#This Row],[  50-54]]-Table3410111213[[#This Row],[  50-54]]</f>
        <v>343</v>
      </c>
      <c r="M52" s="5">
        <f>Table341011121318[[#This Row],[  55-59]]-Table3410111213[[#This Row],[  55-59]]</f>
        <v>324</v>
      </c>
      <c r="N52" s="5">
        <f>Table341011121318[[#This Row],[  60-64]]-Table3410111213[[#This Row],[  60-64]]</f>
        <v>141</v>
      </c>
      <c r="O52" s="5">
        <f>Table341011121318[[#This Row],[  65-69]]-Table3410111213[[#This Row],[  65-69]]</f>
        <v>73</v>
      </c>
      <c r="P52" s="5">
        <f>Table341011121318[[#This Row],[  70-74]]-Table3410111213[[#This Row],[  70-74]]</f>
        <v>27</v>
      </c>
      <c r="Q52" s="5">
        <f>Table341011121318[[#This Row],[  75-79]]-Table3410111213[[#This Row],[  75-79]]</f>
        <v>-3</v>
      </c>
      <c r="R52" s="5">
        <f>Table341011121318[[#This Row],[  80-84]]-Table3410111213[[#This Row],[  80-84]]</f>
        <v>-14</v>
      </c>
      <c r="S52" s="5">
        <f>Table341011121318[[#This Row],[  85-89]]-Table3410111213[[#This Row],[  85-89]]</f>
        <v>19</v>
      </c>
      <c r="T52" s="5">
        <f>Table341011121318[[#This Row],[  90+]]-Table3410111213[[#This Row],[  90+]]</f>
        <v>5</v>
      </c>
    </row>
    <row r="53" spans="1:21" x14ac:dyDescent="0.2">
      <c r="A53" s="9" t="s">
        <v>18</v>
      </c>
      <c r="B53" s="6" t="s">
        <v>22</v>
      </c>
      <c r="C53" s="5">
        <f>Table341011121318[[#This Row],[Total]]-Table3410111213[[#This Row],[Total]]</f>
        <v>2127</v>
      </c>
      <c r="D53" s="5">
        <f>Table341011121318[[#This Row],[  5-11]]-Table3410111213[[#This Row],[  5-11]]</f>
        <v>1167</v>
      </c>
      <c r="E53" s="5">
        <f>Table341011121318[[#This Row],[  12-17]]-Table3410111213[[#This Row],[  12-17]]</f>
        <v>287</v>
      </c>
      <c r="F53" s="5">
        <f>Table341011121318[[#This Row],[  18-24]]-Table3410111213[[#This Row],[  18-24]]</f>
        <v>160</v>
      </c>
      <c r="G53" s="5">
        <f>Table341011121318[[#This Row],[  25-29 ]]-Table3410111213[[#This Row],[  25-29 ]]</f>
        <v>100</v>
      </c>
      <c r="H53" s="5">
        <f>Table341011121318[[#This Row],[  30-34]]-Table3410111213[[#This Row],[  30-34]]</f>
        <v>85</v>
      </c>
      <c r="I53" s="5">
        <f>Table341011121318[[#This Row],[  35-39]]-Table3410111213[[#This Row],[  35-39]]</f>
        <v>63</v>
      </c>
      <c r="J53" s="5">
        <f>Table341011121318[[#This Row],[  40-44]]-Table3410111213[[#This Row],[  40-44]]</f>
        <v>77</v>
      </c>
      <c r="K53" s="5">
        <f>Table341011121318[[#This Row],[  45-49 ]]-Table3410111213[[#This Row],[  45-49 ]]</f>
        <v>43</v>
      </c>
      <c r="L53" s="5">
        <f>Table341011121318[[#This Row],[  50-54]]-Table3410111213[[#This Row],[  50-54]]</f>
        <v>40</v>
      </c>
      <c r="M53" s="5">
        <f>Table341011121318[[#This Row],[  55-59]]-Table3410111213[[#This Row],[  55-59]]</f>
        <v>45</v>
      </c>
      <c r="N53" s="5">
        <f>Table341011121318[[#This Row],[  60-64]]-Table3410111213[[#This Row],[  60-64]]</f>
        <v>27</v>
      </c>
      <c r="O53" s="5">
        <f>Table341011121318[[#This Row],[  65-69]]-Table3410111213[[#This Row],[  65-69]]</f>
        <v>23</v>
      </c>
      <c r="P53" s="5">
        <f>Table341011121318[[#This Row],[  70-74]]-Table3410111213[[#This Row],[  70-74]]</f>
        <v>4</v>
      </c>
      <c r="Q53" s="5">
        <f>Table341011121318[[#This Row],[  75-79]]-Table3410111213[[#This Row],[  75-79]]</f>
        <v>3</v>
      </c>
      <c r="R53" s="5">
        <f>Table341011121318[[#This Row],[  80-84]]-Table3410111213[[#This Row],[  80-84]]</f>
        <v>-1</v>
      </c>
      <c r="S53" s="5">
        <f>Table341011121318[[#This Row],[  85-89]]-Table3410111213[[#This Row],[  85-89]]</f>
        <v>3</v>
      </c>
      <c r="T53" s="5">
        <f>Table341011121318[[#This Row],[  90+]]-Table3410111213[[#This Row],[  90+]]</f>
        <v>1</v>
      </c>
    </row>
    <row r="54" spans="1:21" x14ac:dyDescent="0.2">
      <c r="A54" s="9" t="s">
        <v>18</v>
      </c>
      <c r="B54" s="6" t="s">
        <v>0</v>
      </c>
      <c r="C54" s="5">
        <f>Table341011121318[[#This Row],[Total]]-Table3410111213[[#This Row],[Total]]</f>
        <v>1087</v>
      </c>
      <c r="D54" s="5">
        <f>Table341011121318[[#This Row],[  5-11]]-Table3410111213[[#This Row],[  5-11]]</f>
        <v>594</v>
      </c>
      <c r="E54" s="5">
        <f>Table341011121318[[#This Row],[  12-17]]-Table3410111213[[#This Row],[  12-17]]</f>
        <v>148</v>
      </c>
      <c r="F54" s="5">
        <f>Table341011121318[[#This Row],[  18-24]]-Table3410111213[[#This Row],[  18-24]]</f>
        <v>93</v>
      </c>
      <c r="G54" s="5">
        <f>Table341011121318[[#This Row],[  25-29 ]]-Table3410111213[[#This Row],[  25-29 ]]</f>
        <v>53</v>
      </c>
      <c r="H54" s="5">
        <f>Table341011121318[[#This Row],[  30-34]]-Table3410111213[[#This Row],[  30-34]]</f>
        <v>35</v>
      </c>
      <c r="I54" s="5">
        <f>Table341011121318[[#This Row],[  35-39]]-Table3410111213[[#This Row],[  35-39]]</f>
        <v>26</v>
      </c>
      <c r="J54" s="5">
        <f>Table341011121318[[#This Row],[  40-44]]-Table3410111213[[#This Row],[  40-44]]</f>
        <v>64</v>
      </c>
      <c r="K54" s="5">
        <f>Table341011121318[[#This Row],[  45-49 ]]-Table3410111213[[#This Row],[  45-49 ]]</f>
        <v>13</v>
      </c>
      <c r="L54" s="5">
        <f>Table341011121318[[#This Row],[  50-54]]-Table3410111213[[#This Row],[  50-54]]</f>
        <v>26</v>
      </c>
      <c r="M54" s="5">
        <f>Table341011121318[[#This Row],[  55-59]]-Table3410111213[[#This Row],[  55-59]]</f>
        <v>19</v>
      </c>
      <c r="N54" s="5">
        <f>Table341011121318[[#This Row],[  60-64]]-Table3410111213[[#This Row],[  60-64]]</f>
        <v>1</v>
      </c>
      <c r="O54" s="5">
        <f>Table341011121318[[#This Row],[  65-69]]-Table3410111213[[#This Row],[  65-69]]</f>
        <v>18</v>
      </c>
      <c r="P54" s="5">
        <f>Table341011121318[[#This Row],[  70-74]]-Table3410111213[[#This Row],[  70-74]]</f>
        <v>-5</v>
      </c>
      <c r="Q54" s="5">
        <f>Table341011121318[[#This Row],[  75-79]]-Table3410111213[[#This Row],[  75-79]]</f>
        <v>4</v>
      </c>
      <c r="R54" s="5">
        <f>Table341011121318[[#This Row],[  80-84]]-Table3410111213[[#This Row],[  80-84]]</f>
        <v>-5</v>
      </c>
      <c r="S54" s="5">
        <f>Table341011121318[[#This Row],[  85-89]]-Table3410111213[[#This Row],[  85-89]]</f>
        <v>3</v>
      </c>
      <c r="T54" s="5">
        <f>Table341011121318[[#This Row],[  90+]]-Table3410111213[[#This Row],[  90+]]</f>
        <v>0</v>
      </c>
    </row>
    <row r="55" spans="1:21" x14ac:dyDescent="0.2">
      <c r="A55" s="9" t="s">
        <v>18</v>
      </c>
      <c r="B55" s="6" t="s">
        <v>23</v>
      </c>
      <c r="C55" s="5">
        <f>Table341011121318[[#This Row],[Total]]-Table3410111213[[#This Row],[Total]]</f>
        <v>1040</v>
      </c>
      <c r="D55" s="5">
        <f>Table341011121318[[#This Row],[  5-11]]-Table3410111213[[#This Row],[  5-11]]</f>
        <v>573</v>
      </c>
      <c r="E55" s="5">
        <f>Table341011121318[[#This Row],[  12-17]]-Table3410111213[[#This Row],[  12-17]]</f>
        <v>139</v>
      </c>
      <c r="F55" s="5">
        <f>Table341011121318[[#This Row],[  18-24]]-Table3410111213[[#This Row],[  18-24]]</f>
        <v>67</v>
      </c>
      <c r="G55" s="5">
        <f>Table341011121318[[#This Row],[  25-29 ]]-Table3410111213[[#This Row],[  25-29 ]]</f>
        <v>47</v>
      </c>
      <c r="H55" s="5">
        <f>Table341011121318[[#This Row],[  30-34]]-Table3410111213[[#This Row],[  30-34]]</f>
        <v>50</v>
      </c>
      <c r="I55" s="5">
        <f>Table341011121318[[#This Row],[  35-39]]-Table3410111213[[#This Row],[  35-39]]</f>
        <v>37</v>
      </c>
      <c r="J55" s="5">
        <f>Table341011121318[[#This Row],[  40-44]]-Table3410111213[[#This Row],[  40-44]]</f>
        <v>13</v>
      </c>
      <c r="K55" s="5">
        <f>Table341011121318[[#This Row],[  45-49 ]]-Table3410111213[[#This Row],[  45-49 ]]</f>
        <v>30</v>
      </c>
      <c r="L55" s="5">
        <f>Table341011121318[[#This Row],[  50-54]]-Table3410111213[[#This Row],[  50-54]]</f>
        <v>14</v>
      </c>
      <c r="M55" s="5">
        <f>Table341011121318[[#This Row],[  55-59]]-Table3410111213[[#This Row],[  55-59]]</f>
        <v>26</v>
      </c>
      <c r="N55" s="5">
        <f>Table341011121318[[#This Row],[  60-64]]-Table3410111213[[#This Row],[  60-64]]</f>
        <v>26</v>
      </c>
      <c r="O55" s="5">
        <f>Table341011121318[[#This Row],[  65-69]]-Table3410111213[[#This Row],[  65-69]]</f>
        <v>5</v>
      </c>
      <c r="P55" s="5">
        <f>Table341011121318[[#This Row],[  70-74]]-Table3410111213[[#This Row],[  70-74]]</f>
        <v>9</v>
      </c>
      <c r="Q55" s="5">
        <f>Table341011121318[[#This Row],[  75-79]]-Table3410111213[[#This Row],[  75-79]]</f>
        <v>-1</v>
      </c>
      <c r="R55" s="5">
        <f>Table341011121318[[#This Row],[  80-84]]-Table3410111213[[#This Row],[  80-84]]</f>
        <v>4</v>
      </c>
      <c r="S55" s="5">
        <f>Table341011121318[[#This Row],[  85-89]]-Table3410111213[[#This Row],[  85-89]]</f>
        <v>0</v>
      </c>
      <c r="T55" s="5">
        <f>Table341011121318[[#This Row],[  90+]]-Table3410111213[[#This Row],[  90+]]</f>
        <v>1</v>
      </c>
    </row>
    <row r="56" spans="1:21" x14ac:dyDescent="0.2">
      <c r="A56" s="9" t="s">
        <v>19</v>
      </c>
      <c r="B56" s="6" t="s">
        <v>22</v>
      </c>
      <c r="C56" s="5">
        <f>Table341011121318[[#This Row],[Total]]-Table3410111213[[#This Row],[Total]]</f>
        <v>12511</v>
      </c>
      <c r="D56" s="5">
        <f>Table341011121318[[#This Row],[  5-11]]-Table3410111213[[#This Row],[  5-11]]</f>
        <v>6817</v>
      </c>
      <c r="E56" s="5">
        <f>Table341011121318[[#This Row],[  12-17]]-Table3410111213[[#This Row],[  12-17]]</f>
        <v>1596</v>
      </c>
      <c r="F56" s="5">
        <f>Table341011121318[[#This Row],[  18-24]]-Table3410111213[[#This Row],[  18-24]]</f>
        <v>855</v>
      </c>
      <c r="G56" s="5">
        <f>Table341011121318[[#This Row],[  25-29 ]]-Table3410111213[[#This Row],[  25-29 ]]</f>
        <v>850</v>
      </c>
      <c r="H56" s="5">
        <f>Table341011121318[[#This Row],[  30-34]]-Table3410111213[[#This Row],[  30-34]]</f>
        <v>565</v>
      </c>
      <c r="I56" s="5">
        <f>Table341011121318[[#This Row],[  35-39]]-Table3410111213[[#This Row],[  35-39]]</f>
        <v>445</v>
      </c>
      <c r="J56" s="5">
        <f>Table341011121318[[#This Row],[  40-44]]-Table3410111213[[#This Row],[  40-44]]</f>
        <v>401</v>
      </c>
      <c r="K56" s="5">
        <f>Table341011121318[[#This Row],[  45-49 ]]-Table3410111213[[#This Row],[  45-49 ]]</f>
        <v>376</v>
      </c>
      <c r="L56" s="5">
        <f>Table341011121318[[#This Row],[  50-54]]-Table3410111213[[#This Row],[  50-54]]</f>
        <v>323</v>
      </c>
      <c r="M56" s="5">
        <f>Table341011121318[[#This Row],[  55-59]]-Table3410111213[[#This Row],[  55-59]]</f>
        <v>207</v>
      </c>
      <c r="N56" s="5">
        <f>Table341011121318[[#This Row],[  60-64]]-Table3410111213[[#This Row],[  60-64]]</f>
        <v>40</v>
      </c>
      <c r="O56" s="5">
        <f>Table341011121318[[#This Row],[  65-69]]-Table3410111213[[#This Row],[  65-69]]</f>
        <v>44</v>
      </c>
      <c r="P56" s="5">
        <f>Table341011121318[[#This Row],[  70-74]]-Table3410111213[[#This Row],[  70-74]]</f>
        <v>-15</v>
      </c>
      <c r="Q56" s="5">
        <f>Table341011121318[[#This Row],[  75-79]]-Table3410111213[[#This Row],[  75-79]]</f>
        <v>7</v>
      </c>
      <c r="R56" s="5">
        <f>Table341011121318[[#This Row],[  80-84]]-Table3410111213[[#This Row],[  80-84]]</f>
        <v>14</v>
      </c>
      <c r="S56" s="5">
        <f>Table341011121318[[#This Row],[  85-89]]-Table3410111213[[#This Row],[  85-89]]</f>
        <v>-12</v>
      </c>
      <c r="T56" s="5">
        <f>Table341011121318[[#This Row],[  90+]]-Table3410111213[[#This Row],[  90+]]</f>
        <v>-2</v>
      </c>
    </row>
    <row r="57" spans="1:21" x14ac:dyDescent="0.2">
      <c r="A57" s="10" t="s">
        <v>19</v>
      </c>
      <c r="B57" s="6" t="s">
        <v>0</v>
      </c>
      <c r="C57" s="5">
        <f>Table341011121318[[#This Row],[Total]]-Table3410111213[[#This Row],[Total]]</f>
        <v>6365</v>
      </c>
      <c r="D57" s="5">
        <f>Table341011121318[[#This Row],[  5-11]]-Table3410111213[[#This Row],[  5-11]]</f>
        <v>3552</v>
      </c>
      <c r="E57" s="5">
        <f>Table341011121318[[#This Row],[  12-17]]-Table3410111213[[#This Row],[  12-17]]</f>
        <v>897</v>
      </c>
      <c r="F57" s="5">
        <f>Table341011121318[[#This Row],[  18-24]]-Table3410111213[[#This Row],[  18-24]]</f>
        <v>373</v>
      </c>
      <c r="G57" s="5">
        <f>Table341011121318[[#This Row],[  25-29 ]]-Table3410111213[[#This Row],[  25-29 ]]</f>
        <v>429</v>
      </c>
      <c r="H57" s="5">
        <f>Table341011121318[[#This Row],[  30-34]]-Table3410111213[[#This Row],[  30-34]]</f>
        <v>282</v>
      </c>
      <c r="I57" s="5">
        <f>Table341011121318[[#This Row],[  35-39]]-Table3410111213[[#This Row],[  35-39]]</f>
        <v>191</v>
      </c>
      <c r="J57" s="5">
        <f>Table341011121318[[#This Row],[  40-44]]-Table3410111213[[#This Row],[  40-44]]</f>
        <v>196</v>
      </c>
      <c r="K57" s="5">
        <f>Table341011121318[[#This Row],[  45-49 ]]-Table3410111213[[#This Row],[  45-49 ]]</f>
        <v>194</v>
      </c>
      <c r="L57" s="5">
        <f>Table341011121318[[#This Row],[  50-54]]-Table3410111213[[#This Row],[  50-54]]</f>
        <v>129</v>
      </c>
      <c r="M57" s="5">
        <f>Table341011121318[[#This Row],[  55-59]]-Table3410111213[[#This Row],[  55-59]]</f>
        <v>116</v>
      </c>
      <c r="N57" s="5">
        <f>Table341011121318[[#This Row],[  60-64]]-Table3410111213[[#This Row],[  60-64]]</f>
        <v>-2</v>
      </c>
      <c r="O57" s="5">
        <f>Table341011121318[[#This Row],[  65-69]]-Table3410111213[[#This Row],[  65-69]]</f>
        <v>17</v>
      </c>
      <c r="P57" s="5">
        <f>Table341011121318[[#This Row],[  70-74]]-Table3410111213[[#This Row],[  70-74]]</f>
        <v>-10</v>
      </c>
      <c r="Q57" s="5">
        <f>Table341011121318[[#This Row],[  75-79]]-Table3410111213[[#This Row],[  75-79]]</f>
        <v>10</v>
      </c>
      <c r="R57" s="5">
        <f>Table341011121318[[#This Row],[  80-84]]-Table3410111213[[#This Row],[  80-84]]</f>
        <v>4</v>
      </c>
      <c r="S57" s="5">
        <f>Table341011121318[[#This Row],[  85-89]]-Table3410111213[[#This Row],[  85-89]]</f>
        <v>-11</v>
      </c>
      <c r="T57" s="5">
        <f>Table341011121318[[#This Row],[  90+]]-Table3410111213[[#This Row],[  90+]]</f>
        <v>-2</v>
      </c>
    </row>
    <row r="58" spans="1:21" x14ac:dyDescent="0.2">
      <c r="A58" s="10" t="s">
        <v>19</v>
      </c>
      <c r="B58" s="6" t="s">
        <v>23</v>
      </c>
      <c r="C58" s="5">
        <f>Table341011121318[[#This Row],[Total]]-Table3410111213[[#This Row],[Total]]</f>
        <v>6146</v>
      </c>
      <c r="D58" s="5">
        <f>Table341011121318[[#This Row],[  5-11]]-Table3410111213[[#This Row],[  5-11]]</f>
        <v>3265</v>
      </c>
      <c r="E58" s="5">
        <f>Table341011121318[[#This Row],[  12-17]]-Table3410111213[[#This Row],[  12-17]]</f>
        <v>699</v>
      </c>
      <c r="F58" s="5">
        <f>Table341011121318[[#This Row],[  18-24]]-Table3410111213[[#This Row],[  18-24]]</f>
        <v>482</v>
      </c>
      <c r="G58" s="5">
        <f>Table341011121318[[#This Row],[  25-29 ]]-Table3410111213[[#This Row],[  25-29 ]]</f>
        <v>421</v>
      </c>
      <c r="H58" s="5">
        <f>Table341011121318[[#This Row],[  30-34]]-Table3410111213[[#This Row],[  30-34]]</f>
        <v>283</v>
      </c>
      <c r="I58" s="5">
        <f>Table341011121318[[#This Row],[  35-39]]-Table3410111213[[#This Row],[  35-39]]</f>
        <v>254</v>
      </c>
      <c r="J58" s="5">
        <f>Table341011121318[[#This Row],[  40-44]]-Table3410111213[[#This Row],[  40-44]]</f>
        <v>205</v>
      </c>
      <c r="K58" s="5">
        <f>Table341011121318[[#This Row],[  45-49 ]]-Table3410111213[[#This Row],[  45-49 ]]</f>
        <v>182</v>
      </c>
      <c r="L58" s="5">
        <f>Table341011121318[[#This Row],[  50-54]]-Table3410111213[[#This Row],[  50-54]]</f>
        <v>194</v>
      </c>
      <c r="M58" s="5">
        <f>Table341011121318[[#This Row],[  55-59]]-Table3410111213[[#This Row],[  55-59]]</f>
        <v>91</v>
      </c>
      <c r="N58" s="5">
        <f>Table341011121318[[#This Row],[  60-64]]-Table3410111213[[#This Row],[  60-64]]</f>
        <v>42</v>
      </c>
      <c r="O58" s="5">
        <f>Table341011121318[[#This Row],[  65-69]]-Table3410111213[[#This Row],[  65-69]]</f>
        <v>27</v>
      </c>
      <c r="P58" s="5">
        <f>Table341011121318[[#This Row],[  70-74]]-Table3410111213[[#This Row],[  70-74]]</f>
        <v>-5</v>
      </c>
      <c r="Q58" s="5">
        <f>Table341011121318[[#This Row],[  75-79]]-Table3410111213[[#This Row],[  75-79]]</f>
        <v>-3</v>
      </c>
      <c r="R58" s="5">
        <f>Table341011121318[[#This Row],[  80-84]]-Table3410111213[[#This Row],[  80-84]]</f>
        <v>10</v>
      </c>
      <c r="S58" s="5">
        <f>Table341011121318[[#This Row],[  85-89]]-Table3410111213[[#This Row],[  85-89]]</f>
        <v>-1</v>
      </c>
      <c r="T58" s="5">
        <f>Table341011121318[[#This Row],[  90+]]-Table3410111213[[#This Row],[  90+]]</f>
        <v>0</v>
      </c>
    </row>
    <row r="59" spans="1:21" x14ac:dyDescent="0.2">
      <c r="A59" s="9" t="s">
        <v>20</v>
      </c>
      <c r="B59" s="6" t="s">
        <v>22</v>
      </c>
      <c r="C59" s="5">
        <f>Table341011121318[[#This Row],[Total]]-Table3410111213[[#This Row],[Total]]</f>
        <v>934</v>
      </c>
      <c r="D59" s="5">
        <f>Table341011121318[[#This Row],[  5-11]]-Table3410111213[[#This Row],[  5-11]]</f>
        <v>460</v>
      </c>
      <c r="E59" s="5">
        <f>Table341011121318[[#This Row],[  12-17]]-Table3410111213[[#This Row],[  12-17]]</f>
        <v>108</v>
      </c>
      <c r="F59" s="5">
        <f>Table341011121318[[#This Row],[  18-24]]-Table3410111213[[#This Row],[  18-24]]</f>
        <v>38</v>
      </c>
      <c r="G59" s="5">
        <f>Table341011121318[[#This Row],[  25-29 ]]-Table3410111213[[#This Row],[  25-29 ]]</f>
        <v>72</v>
      </c>
      <c r="H59" s="5">
        <f>Table341011121318[[#This Row],[  30-34]]-Table3410111213[[#This Row],[  30-34]]</f>
        <v>63</v>
      </c>
      <c r="I59" s="5">
        <f>Table341011121318[[#This Row],[  35-39]]-Table3410111213[[#This Row],[  35-39]]</f>
        <v>32</v>
      </c>
      <c r="J59" s="5">
        <f>Table341011121318[[#This Row],[  40-44]]-Table3410111213[[#This Row],[  40-44]]</f>
        <v>28</v>
      </c>
      <c r="K59" s="5">
        <f>Table341011121318[[#This Row],[  45-49 ]]-Table3410111213[[#This Row],[  45-49 ]]</f>
        <v>44</v>
      </c>
      <c r="L59" s="5">
        <f>Table341011121318[[#This Row],[  50-54]]-Table3410111213[[#This Row],[  50-54]]</f>
        <v>17</v>
      </c>
      <c r="M59" s="5">
        <f>Table341011121318[[#This Row],[  55-59]]-Table3410111213[[#This Row],[  55-59]]</f>
        <v>41</v>
      </c>
      <c r="N59" s="5">
        <f>Table341011121318[[#This Row],[  60-64]]-Table3410111213[[#This Row],[  60-64]]</f>
        <v>23</v>
      </c>
      <c r="O59" s="5">
        <f>Table341011121318[[#This Row],[  65-69]]-Table3410111213[[#This Row],[  65-69]]</f>
        <v>6</v>
      </c>
      <c r="P59" s="5">
        <f>Table341011121318[[#This Row],[  70-74]]-Table3410111213[[#This Row],[  70-74]]</f>
        <v>18</v>
      </c>
      <c r="Q59" s="5">
        <f>Table341011121318[[#This Row],[  75-79]]-Table3410111213[[#This Row],[  75-79]]</f>
        <v>-9</v>
      </c>
      <c r="R59" s="5">
        <f>Table341011121318[[#This Row],[  80-84]]-Table3410111213[[#This Row],[  80-84]]</f>
        <v>0</v>
      </c>
      <c r="S59" s="5">
        <f>Table341011121318[[#This Row],[  85-89]]-Table3410111213[[#This Row],[  85-89]]</f>
        <v>-2</v>
      </c>
      <c r="T59" s="5">
        <f>Table341011121318[[#This Row],[  90+]]-Table3410111213[[#This Row],[  90+]]</f>
        <v>-5</v>
      </c>
    </row>
    <row r="60" spans="1:21" x14ac:dyDescent="0.2">
      <c r="A60" s="9" t="s">
        <v>20</v>
      </c>
      <c r="B60" s="6" t="s">
        <v>0</v>
      </c>
      <c r="C60" s="5">
        <f>Table341011121318[[#This Row],[Total]]-Table3410111213[[#This Row],[Total]]</f>
        <v>504</v>
      </c>
      <c r="D60" s="5">
        <f>Table341011121318[[#This Row],[  5-11]]-Table3410111213[[#This Row],[  5-11]]</f>
        <v>247</v>
      </c>
      <c r="E60" s="5">
        <f>Table341011121318[[#This Row],[  12-17]]-Table3410111213[[#This Row],[  12-17]]</f>
        <v>66</v>
      </c>
      <c r="F60" s="5">
        <f>Table341011121318[[#This Row],[  18-24]]-Table3410111213[[#This Row],[  18-24]]</f>
        <v>12</v>
      </c>
      <c r="G60" s="5">
        <f>Table341011121318[[#This Row],[  25-29 ]]-Table3410111213[[#This Row],[  25-29 ]]</f>
        <v>27</v>
      </c>
      <c r="H60" s="5">
        <f>Table341011121318[[#This Row],[  30-34]]-Table3410111213[[#This Row],[  30-34]]</f>
        <v>44</v>
      </c>
      <c r="I60" s="5">
        <f>Table341011121318[[#This Row],[  35-39]]-Table3410111213[[#This Row],[  35-39]]</f>
        <v>26</v>
      </c>
      <c r="J60" s="5">
        <f>Table341011121318[[#This Row],[  40-44]]-Table3410111213[[#This Row],[  40-44]]</f>
        <v>18</v>
      </c>
      <c r="K60" s="5">
        <f>Table341011121318[[#This Row],[  45-49 ]]-Table3410111213[[#This Row],[  45-49 ]]</f>
        <v>19</v>
      </c>
      <c r="L60" s="5">
        <f>Table341011121318[[#This Row],[  50-54]]-Table3410111213[[#This Row],[  50-54]]</f>
        <v>14</v>
      </c>
      <c r="M60" s="5">
        <f>Table341011121318[[#This Row],[  55-59]]-Table3410111213[[#This Row],[  55-59]]</f>
        <v>19</v>
      </c>
      <c r="N60" s="5">
        <f>Table341011121318[[#This Row],[  60-64]]-Table3410111213[[#This Row],[  60-64]]</f>
        <v>10</v>
      </c>
      <c r="O60" s="5">
        <f>Table341011121318[[#This Row],[  65-69]]-Table3410111213[[#This Row],[  65-69]]</f>
        <v>0</v>
      </c>
      <c r="P60" s="5">
        <f>Table341011121318[[#This Row],[  70-74]]-Table3410111213[[#This Row],[  70-74]]</f>
        <v>9</v>
      </c>
      <c r="Q60" s="5">
        <f>Table341011121318[[#This Row],[  75-79]]-Table3410111213[[#This Row],[  75-79]]</f>
        <v>-2</v>
      </c>
      <c r="R60" s="5">
        <f>Table341011121318[[#This Row],[  80-84]]-Table3410111213[[#This Row],[  80-84]]</f>
        <v>2</v>
      </c>
      <c r="S60" s="5">
        <f>Table341011121318[[#This Row],[  85-89]]-Table3410111213[[#This Row],[  85-89]]</f>
        <v>-2</v>
      </c>
      <c r="T60" s="5">
        <f>Table341011121318[[#This Row],[  90+]]-Table3410111213[[#This Row],[  90+]]</f>
        <v>-5</v>
      </c>
    </row>
    <row r="61" spans="1:21" x14ac:dyDescent="0.2">
      <c r="A61" s="9" t="s">
        <v>20</v>
      </c>
      <c r="B61" s="6" t="s">
        <v>23</v>
      </c>
      <c r="C61" s="5">
        <f>Table341011121318[[#This Row],[Total]]-Table3410111213[[#This Row],[Total]]</f>
        <v>430</v>
      </c>
      <c r="D61" s="5">
        <f>Table341011121318[[#This Row],[  5-11]]-Table3410111213[[#This Row],[  5-11]]</f>
        <v>213</v>
      </c>
      <c r="E61" s="5">
        <f>Table341011121318[[#This Row],[  12-17]]-Table3410111213[[#This Row],[  12-17]]</f>
        <v>42</v>
      </c>
      <c r="F61" s="5">
        <f>Table341011121318[[#This Row],[  18-24]]-Table3410111213[[#This Row],[  18-24]]</f>
        <v>26</v>
      </c>
      <c r="G61" s="5">
        <f>Table341011121318[[#This Row],[  25-29 ]]-Table3410111213[[#This Row],[  25-29 ]]</f>
        <v>45</v>
      </c>
      <c r="H61" s="5">
        <f>Table341011121318[[#This Row],[  30-34]]-Table3410111213[[#This Row],[  30-34]]</f>
        <v>19</v>
      </c>
      <c r="I61" s="5">
        <f>Table341011121318[[#This Row],[  35-39]]-Table3410111213[[#This Row],[  35-39]]</f>
        <v>6</v>
      </c>
      <c r="J61" s="5">
        <f>Table341011121318[[#This Row],[  40-44]]-Table3410111213[[#This Row],[  40-44]]</f>
        <v>10</v>
      </c>
      <c r="K61" s="5">
        <f>Table341011121318[[#This Row],[  45-49 ]]-Table3410111213[[#This Row],[  45-49 ]]</f>
        <v>25</v>
      </c>
      <c r="L61" s="5">
        <f>Table341011121318[[#This Row],[  50-54]]-Table3410111213[[#This Row],[  50-54]]</f>
        <v>3</v>
      </c>
      <c r="M61" s="5">
        <f>Table341011121318[[#This Row],[  55-59]]-Table3410111213[[#This Row],[  55-59]]</f>
        <v>22</v>
      </c>
      <c r="N61" s="5">
        <f>Table341011121318[[#This Row],[  60-64]]-Table3410111213[[#This Row],[  60-64]]</f>
        <v>13</v>
      </c>
      <c r="O61" s="5">
        <f>Table341011121318[[#This Row],[  65-69]]-Table3410111213[[#This Row],[  65-69]]</f>
        <v>6</v>
      </c>
      <c r="P61" s="5">
        <f>Table341011121318[[#This Row],[  70-74]]-Table3410111213[[#This Row],[  70-74]]</f>
        <v>9</v>
      </c>
      <c r="Q61" s="5">
        <f>Table341011121318[[#This Row],[  75-79]]-Table3410111213[[#This Row],[  75-79]]</f>
        <v>-7</v>
      </c>
      <c r="R61" s="5">
        <f>Table341011121318[[#This Row],[  80-84]]-Table3410111213[[#This Row],[  80-84]]</f>
        <v>-2</v>
      </c>
      <c r="S61" s="5">
        <f>Table341011121318[[#This Row],[  85-89]]-Table3410111213[[#This Row],[  85-89]]</f>
        <v>0</v>
      </c>
      <c r="T61" s="5">
        <f>Table341011121318[[#This Row],[  90+]]-Table3410111213[[#This Row],[  90+]]</f>
        <v>0</v>
      </c>
    </row>
    <row r="62" spans="1:21" x14ac:dyDescent="0.2">
      <c r="A62" s="13" t="s">
        <v>21</v>
      </c>
      <c r="B62" s="6" t="s">
        <v>22</v>
      </c>
      <c r="C62" s="5">
        <f>Table341011121318[[#This Row],[Total]]-Table3410111213[[#This Row],[Total]]</f>
        <v>5131</v>
      </c>
      <c r="D62" s="5">
        <f>Table341011121318[[#This Row],[  5-11]]-Table3410111213[[#This Row],[  5-11]]</f>
        <v>2505</v>
      </c>
      <c r="E62" s="5">
        <f>Table341011121318[[#This Row],[  12-17]]-Table3410111213[[#This Row],[  12-17]]</f>
        <v>646</v>
      </c>
      <c r="F62" s="5">
        <f>Table341011121318[[#This Row],[  18-24]]-Table3410111213[[#This Row],[  18-24]]</f>
        <v>412</v>
      </c>
      <c r="G62" s="5">
        <f>Table341011121318[[#This Row],[  25-29 ]]-Table3410111213[[#This Row],[  25-29 ]]</f>
        <v>314</v>
      </c>
      <c r="H62" s="5">
        <f>Table341011121318[[#This Row],[  30-34]]-Table3410111213[[#This Row],[  30-34]]</f>
        <v>276</v>
      </c>
      <c r="I62" s="5">
        <f>Table341011121318[[#This Row],[  35-39]]-Table3410111213[[#This Row],[  35-39]]</f>
        <v>234</v>
      </c>
      <c r="J62" s="5">
        <f>Table341011121318[[#This Row],[  40-44]]-Table3410111213[[#This Row],[  40-44]]</f>
        <v>175</v>
      </c>
      <c r="K62" s="5">
        <f>Table341011121318[[#This Row],[  45-49 ]]-Table3410111213[[#This Row],[  45-49 ]]</f>
        <v>252</v>
      </c>
      <c r="L62" s="5">
        <f>Table341011121318[[#This Row],[  50-54]]-Table3410111213[[#This Row],[  50-54]]</f>
        <v>109</v>
      </c>
      <c r="M62" s="5">
        <f>Table341011121318[[#This Row],[  55-59]]-Table3410111213[[#This Row],[  55-59]]</f>
        <v>127</v>
      </c>
      <c r="N62" s="5">
        <f>Table341011121318[[#This Row],[  60-64]]-Table3410111213[[#This Row],[  60-64]]</f>
        <v>30</v>
      </c>
      <c r="O62" s="5">
        <f>Table341011121318[[#This Row],[  65-69]]-Table3410111213[[#This Row],[  65-69]]</f>
        <v>53</v>
      </c>
      <c r="P62" s="5">
        <f>Table341011121318[[#This Row],[  70-74]]-Table3410111213[[#This Row],[  70-74]]</f>
        <v>-4</v>
      </c>
      <c r="Q62" s="5">
        <f>Table341011121318[[#This Row],[  75-79]]-Table3410111213[[#This Row],[  75-79]]</f>
        <v>2</v>
      </c>
      <c r="R62" s="5">
        <f>Table341011121318[[#This Row],[  80-84]]-Table3410111213[[#This Row],[  80-84]]</f>
        <v>-2</v>
      </c>
      <c r="S62" s="5">
        <f>Table341011121318[[#This Row],[  85-89]]-Table3410111213[[#This Row],[  85-89]]</f>
        <v>-3</v>
      </c>
      <c r="T62" s="5">
        <f>Table341011121318[[#This Row],[  90+]]-Table3410111213[[#This Row],[  90+]]</f>
        <v>5</v>
      </c>
      <c r="U62" s="7"/>
    </row>
    <row r="63" spans="1:21" x14ac:dyDescent="0.2">
      <c r="A63" s="10" t="s">
        <v>21</v>
      </c>
      <c r="B63" s="6" t="s">
        <v>0</v>
      </c>
      <c r="C63" s="5">
        <f>Table341011121318[[#This Row],[Total]]-Table3410111213[[#This Row],[Total]]</f>
        <v>2552</v>
      </c>
      <c r="D63" s="5">
        <f>Table341011121318[[#This Row],[  5-11]]-Table3410111213[[#This Row],[  5-11]]</f>
        <v>1281</v>
      </c>
      <c r="E63" s="5">
        <f>Table341011121318[[#This Row],[  12-17]]-Table3410111213[[#This Row],[  12-17]]</f>
        <v>327</v>
      </c>
      <c r="F63" s="5">
        <f>Table341011121318[[#This Row],[  18-24]]-Table3410111213[[#This Row],[  18-24]]</f>
        <v>222</v>
      </c>
      <c r="G63" s="5">
        <f>Table341011121318[[#This Row],[  25-29 ]]-Table3410111213[[#This Row],[  25-29 ]]</f>
        <v>132</v>
      </c>
      <c r="H63" s="5">
        <f>Table341011121318[[#This Row],[  30-34]]-Table3410111213[[#This Row],[  30-34]]</f>
        <v>142</v>
      </c>
      <c r="I63" s="5">
        <f>Table341011121318[[#This Row],[  35-39]]-Table3410111213[[#This Row],[  35-39]]</f>
        <v>89</v>
      </c>
      <c r="J63" s="5">
        <f>Table341011121318[[#This Row],[  40-44]]-Table3410111213[[#This Row],[  40-44]]</f>
        <v>109</v>
      </c>
      <c r="K63" s="5">
        <f>Table341011121318[[#This Row],[  45-49 ]]-Table3410111213[[#This Row],[  45-49 ]]</f>
        <v>123</v>
      </c>
      <c r="L63" s="5">
        <f>Table341011121318[[#This Row],[  50-54]]-Table3410111213[[#This Row],[  50-54]]</f>
        <v>30</v>
      </c>
      <c r="M63" s="5">
        <f>Table341011121318[[#This Row],[  55-59]]-Table3410111213[[#This Row],[  55-59]]</f>
        <v>89</v>
      </c>
      <c r="N63" s="5">
        <f>Table341011121318[[#This Row],[  60-64]]-Table3410111213[[#This Row],[  60-64]]</f>
        <v>-1</v>
      </c>
      <c r="O63" s="5">
        <f>Table341011121318[[#This Row],[  65-69]]-Table3410111213[[#This Row],[  65-69]]</f>
        <v>22</v>
      </c>
      <c r="P63" s="5">
        <f>Table341011121318[[#This Row],[  70-74]]-Table3410111213[[#This Row],[  70-74]]</f>
        <v>-8</v>
      </c>
      <c r="Q63" s="5">
        <f>Table341011121318[[#This Row],[  75-79]]-Table3410111213[[#This Row],[  75-79]]</f>
        <v>-1</v>
      </c>
      <c r="R63" s="5">
        <f>Table341011121318[[#This Row],[  80-84]]-Table3410111213[[#This Row],[  80-84]]</f>
        <v>-7</v>
      </c>
      <c r="S63" s="5">
        <f>Table341011121318[[#This Row],[  85-89]]-Table3410111213[[#This Row],[  85-89]]</f>
        <v>-1</v>
      </c>
      <c r="T63" s="5">
        <f>Table341011121318[[#This Row],[  90+]]-Table3410111213[[#This Row],[  90+]]</f>
        <v>4</v>
      </c>
    </row>
    <row r="64" spans="1:21" x14ac:dyDescent="0.2">
      <c r="A64" s="10" t="s">
        <v>21</v>
      </c>
      <c r="B64" s="6" t="s">
        <v>23</v>
      </c>
      <c r="C64" s="5">
        <f>Table341011121318[[#This Row],[Total]]-Table3410111213[[#This Row],[Total]]</f>
        <v>2579</v>
      </c>
      <c r="D64" s="5">
        <f>Table341011121318[[#This Row],[  5-11]]-Table3410111213[[#This Row],[  5-11]]</f>
        <v>1224</v>
      </c>
      <c r="E64" s="5">
        <f>Table341011121318[[#This Row],[  12-17]]-Table3410111213[[#This Row],[  12-17]]</f>
        <v>319</v>
      </c>
      <c r="F64" s="5">
        <f>Table341011121318[[#This Row],[  18-24]]-Table3410111213[[#This Row],[  18-24]]</f>
        <v>190</v>
      </c>
      <c r="G64" s="5">
        <f>Table341011121318[[#This Row],[  25-29 ]]-Table3410111213[[#This Row],[  25-29 ]]</f>
        <v>182</v>
      </c>
      <c r="H64" s="5">
        <f>Table341011121318[[#This Row],[  30-34]]-Table3410111213[[#This Row],[  30-34]]</f>
        <v>134</v>
      </c>
      <c r="I64" s="5">
        <f>Table341011121318[[#This Row],[  35-39]]-Table3410111213[[#This Row],[  35-39]]</f>
        <v>145</v>
      </c>
      <c r="J64" s="5">
        <f>Table341011121318[[#This Row],[  40-44]]-Table3410111213[[#This Row],[  40-44]]</f>
        <v>66</v>
      </c>
      <c r="K64" s="5">
        <f>Table341011121318[[#This Row],[  45-49 ]]-Table3410111213[[#This Row],[  45-49 ]]</f>
        <v>129</v>
      </c>
      <c r="L64" s="5">
        <f>Table341011121318[[#This Row],[  50-54]]-Table3410111213[[#This Row],[  50-54]]</f>
        <v>79</v>
      </c>
      <c r="M64" s="5">
        <f>Table341011121318[[#This Row],[  55-59]]-Table3410111213[[#This Row],[  55-59]]</f>
        <v>38</v>
      </c>
      <c r="N64" s="5">
        <f>Table341011121318[[#This Row],[  60-64]]-Table3410111213[[#This Row],[  60-64]]</f>
        <v>31</v>
      </c>
      <c r="O64" s="5">
        <f>Table341011121318[[#This Row],[  65-69]]-Table3410111213[[#This Row],[  65-69]]</f>
        <v>31</v>
      </c>
      <c r="P64" s="5">
        <f>Table341011121318[[#This Row],[  70-74]]-Table3410111213[[#This Row],[  70-74]]</f>
        <v>4</v>
      </c>
      <c r="Q64" s="5">
        <f>Table341011121318[[#This Row],[  75-79]]-Table3410111213[[#This Row],[  75-79]]</f>
        <v>3</v>
      </c>
      <c r="R64" s="5">
        <f>Table341011121318[[#This Row],[  80-84]]-Table3410111213[[#This Row],[  80-84]]</f>
        <v>5</v>
      </c>
      <c r="S64" s="5">
        <f>Table341011121318[[#This Row],[  85-89]]-Table3410111213[[#This Row],[  85-89]]</f>
        <v>-2</v>
      </c>
      <c r="T64" s="5">
        <f>Table341011121318[[#This Row],[  90+]]-Table3410111213[[#This Row],[  90+]]</f>
        <v>1</v>
      </c>
    </row>
    <row r="65" spans="1:20" x14ac:dyDescent="0.2">
      <c r="A65" s="13" t="s">
        <v>22</v>
      </c>
      <c r="B65" s="6" t="s">
        <v>22</v>
      </c>
      <c r="C65" s="5">
        <f>Table341011121318[[#This Row],[Total]]-Table3410111213[[#This Row],[Total]]</f>
        <v>199149</v>
      </c>
      <c r="D65" s="5">
        <f>Table341011121318[[#This Row],[  5-11]]-Table3410111213[[#This Row],[  5-11]]</f>
        <v>100499</v>
      </c>
      <c r="E65" s="5">
        <f>Table341011121318[[#This Row],[  12-17]]-Table3410111213[[#This Row],[  12-17]]</f>
        <v>25512</v>
      </c>
      <c r="F65" s="5">
        <f>Table341011121318[[#This Row],[  18-24]]-Table3410111213[[#This Row],[  18-24]]</f>
        <v>15082</v>
      </c>
      <c r="G65" s="5">
        <f>Table341011121318[[#This Row],[  25-29 ]]-Table3410111213[[#This Row],[  25-29 ]]</f>
        <v>13169</v>
      </c>
      <c r="H65" s="5">
        <f>Table341011121318[[#This Row],[  30-34]]-Table3410111213[[#This Row],[  30-34]]</f>
        <v>11425</v>
      </c>
      <c r="I65" s="5">
        <f>Table341011121318[[#This Row],[  35-39]]-Table3410111213[[#This Row],[  35-39]]</f>
        <v>7245</v>
      </c>
      <c r="J65" s="5">
        <f>Table341011121318[[#This Row],[  40-44]]-Table3410111213[[#This Row],[  40-44]]</f>
        <v>7076</v>
      </c>
      <c r="K65" s="5">
        <f>Table341011121318[[#This Row],[  45-49 ]]-Table3410111213[[#This Row],[  45-49 ]]</f>
        <v>6717</v>
      </c>
      <c r="L65" s="5">
        <f>Table341011121318[[#This Row],[  50-54]]-Table3410111213[[#This Row],[  50-54]]</f>
        <v>5133</v>
      </c>
      <c r="M65" s="5">
        <f>Table341011121318[[#This Row],[  55-59]]-Table3410111213[[#This Row],[  55-59]]</f>
        <v>4477</v>
      </c>
      <c r="N65" s="5">
        <f>Table341011121318[[#This Row],[  60-64]]-Table3410111213[[#This Row],[  60-64]]</f>
        <v>1676</v>
      </c>
      <c r="O65" s="5">
        <f>Table341011121318[[#This Row],[  65-69]]-Table3410111213[[#This Row],[  65-69]]</f>
        <v>851</v>
      </c>
      <c r="P65" s="5">
        <f>Table341011121318[[#This Row],[  70-74]]-Table3410111213[[#This Row],[  70-74]]</f>
        <v>129</v>
      </c>
      <c r="Q65" s="5">
        <f>Table341011121318[[#This Row],[  75-79]]-Table3410111213[[#This Row],[  75-79]]</f>
        <v>-13</v>
      </c>
      <c r="R65" s="5">
        <f>Table341011121318[[#This Row],[  80-84]]-Table3410111213[[#This Row],[  80-84]]</f>
        <v>59</v>
      </c>
      <c r="S65" s="5">
        <f>Table341011121318[[#This Row],[  85-89]]-Table3410111213[[#This Row],[  85-89]]</f>
        <v>82</v>
      </c>
      <c r="T65" s="5">
        <f>Table341011121318[[#This Row],[  90+]]-Table3410111213[[#This Row],[  90+]]</f>
        <v>30</v>
      </c>
    </row>
    <row r="66" spans="1:20" x14ac:dyDescent="0.2">
      <c r="A66" s="10" t="s">
        <v>22</v>
      </c>
      <c r="B66" s="6" t="s">
        <v>0</v>
      </c>
      <c r="C66" s="5">
        <f>Table341011121318[[#This Row],[Total]]-Table3410111213[[#This Row],[Total]]</f>
        <v>102277</v>
      </c>
      <c r="D66" s="5">
        <f>Table341011121318[[#This Row],[  5-11]]-Table3410111213[[#This Row],[  5-11]]</f>
        <v>52032</v>
      </c>
      <c r="E66" s="5">
        <f>Table341011121318[[#This Row],[  12-17]]-Table3410111213[[#This Row],[  12-17]]</f>
        <v>13622</v>
      </c>
      <c r="F66" s="5">
        <f>Table341011121318[[#This Row],[  18-24]]-Table3410111213[[#This Row],[  18-24]]</f>
        <v>7715</v>
      </c>
      <c r="G66" s="5">
        <f>Table341011121318[[#This Row],[  25-29 ]]-Table3410111213[[#This Row],[  25-29 ]]</f>
        <v>6663</v>
      </c>
      <c r="H66" s="5">
        <f>Table341011121318[[#This Row],[  30-34]]-Table3410111213[[#This Row],[  30-34]]</f>
        <v>5698</v>
      </c>
      <c r="I66" s="5">
        <f>Table341011121318[[#This Row],[  35-39]]-Table3410111213[[#This Row],[  35-39]]</f>
        <v>3700</v>
      </c>
      <c r="J66" s="5">
        <f>Table341011121318[[#This Row],[  40-44]]-Table3410111213[[#This Row],[  40-44]]</f>
        <v>3696</v>
      </c>
      <c r="K66" s="5">
        <f>Table341011121318[[#This Row],[  45-49 ]]-Table3410111213[[#This Row],[  45-49 ]]</f>
        <v>3359</v>
      </c>
      <c r="L66" s="5">
        <f>Table341011121318[[#This Row],[  50-54]]-Table3410111213[[#This Row],[  50-54]]</f>
        <v>2590</v>
      </c>
      <c r="M66" s="5">
        <f>Table341011121318[[#This Row],[  55-59]]-Table3410111213[[#This Row],[  55-59]]</f>
        <v>2234</v>
      </c>
      <c r="N66" s="5">
        <f>Table341011121318[[#This Row],[  60-64]]-Table3410111213[[#This Row],[  60-64]]</f>
        <v>660</v>
      </c>
      <c r="O66" s="5">
        <f>Table341011121318[[#This Row],[  65-69]]-Table3410111213[[#This Row],[  65-69]]</f>
        <v>354</v>
      </c>
      <c r="P66" s="5">
        <f>Table341011121318[[#This Row],[  70-74]]-Table3410111213[[#This Row],[  70-74]]</f>
        <v>-1</v>
      </c>
      <c r="Q66" s="5">
        <f>Table341011121318[[#This Row],[  75-79]]-Table3410111213[[#This Row],[  75-79]]</f>
        <v>-33</v>
      </c>
      <c r="R66" s="5">
        <f>Table341011121318[[#This Row],[  80-84]]-Table3410111213[[#This Row],[  80-84]]</f>
        <v>-29</v>
      </c>
      <c r="S66" s="5">
        <f>Table341011121318[[#This Row],[  85-89]]-Table3410111213[[#This Row],[  85-89]]</f>
        <v>10</v>
      </c>
      <c r="T66" s="5">
        <f>Table341011121318[[#This Row],[  90+]]-Table3410111213[[#This Row],[  90+]]</f>
        <v>7</v>
      </c>
    </row>
    <row r="67" spans="1:20" x14ac:dyDescent="0.2">
      <c r="A67" s="10" t="s">
        <v>22</v>
      </c>
      <c r="B67" s="6" t="s">
        <v>23</v>
      </c>
      <c r="C67" s="5">
        <f>Table341011121318[[#This Row],[Total]]-Table3410111213[[#This Row],[Total]]</f>
        <v>96872</v>
      </c>
      <c r="D67" s="5">
        <f>Table341011121318[[#This Row],[  5-11]]-Table3410111213[[#This Row],[  5-11]]</f>
        <v>48467</v>
      </c>
      <c r="E67" s="5">
        <f>Table341011121318[[#This Row],[  12-17]]-Table3410111213[[#This Row],[  12-17]]</f>
        <v>11890</v>
      </c>
      <c r="F67" s="5">
        <f>Table341011121318[[#This Row],[  18-24]]-Table3410111213[[#This Row],[  18-24]]</f>
        <v>7367</v>
      </c>
      <c r="G67" s="5">
        <f>Table341011121318[[#This Row],[  25-29 ]]-Table3410111213[[#This Row],[  25-29 ]]</f>
        <v>6506</v>
      </c>
      <c r="H67" s="5">
        <f>Table341011121318[[#This Row],[  30-34]]-Table3410111213[[#This Row],[  30-34]]</f>
        <v>5727</v>
      </c>
      <c r="I67" s="5">
        <f>Table341011121318[[#This Row],[  35-39]]-Table3410111213[[#This Row],[  35-39]]</f>
        <v>3545</v>
      </c>
      <c r="J67" s="5">
        <f>Table341011121318[[#This Row],[  40-44]]-Table3410111213[[#This Row],[  40-44]]</f>
        <v>3380</v>
      </c>
      <c r="K67" s="5">
        <f>Table341011121318[[#This Row],[  45-49 ]]-Table3410111213[[#This Row],[  45-49 ]]</f>
        <v>3358</v>
      </c>
      <c r="L67" s="5">
        <f>Table341011121318[[#This Row],[  50-54]]-Table3410111213[[#This Row],[  50-54]]</f>
        <v>2543</v>
      </c>
      <c r="M67" s="5">
        <f>Table341011121318[[#This Row],[  55-59]]-Table3410111213[[#This Row],[  55-59]]</f>
        <v>2243</v>
      </c>
      <c r="N67" s="5">
        <f>Table341011121318[[#This Row],[  60-64]]-Table3410111213[[#This Row],[  60-64]]</f>
        <v>1016</v>
      </c>
      <c r="O67" s="5">
        <f>Table341011121318[[#This Row],[  65-69]]-Table3410111213[[#This Row],[  65-69]]</f>
        <v>497</v>
      </c>
      <c r="P67" s="5">
        <f>Table341011121318[[#This Row],[  70-74]]-Table3410111213[[#This Row],[  70-74]]</f>
        <v>130</v>
      </c>
      <c r="Q67" s="5">
        <f>Table341011121318[[#This Row],[  75-79]]-Table3410111213[[#This Row],[  75-79]]</f>
        <v>20</v>
      </c>
      <c r="R67" s="5">
        <f>Table341011121318[[#This Row],[  80-84]]-Table3410111213[[#This Row],[  80-84]]</f>
        <v>88</v>
      </c>
      <c r="S67" s="5">
        <f>Table341011121318[[#This Row],[  85-89]]-Table3410111213[[#This Row],[  85-89]]</f>
        <v>72</v>
      </c>
      <c r="T67" s="5">
        <f>Table341011121318[[#This Row],[  90+]]-Table3410111213[[#This Row],[  90+]]</f>
        <v>23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8D47-3983-B14A-BF28-9D44A657CB1B}">
  <dimension ref="A1:T67"/>
  <sheetViews>
    <sheetView zoomScaleNormal="100" workbookViewId="0">
      <selection activeCell="E16" sqref="E16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Table3410111213181422[[#This Row],[Total]]-Table3410112[[#This Row],[Total]]</f>
        <v>55575</v>
      </c>
      <c r="D2" s="5">
        <f>Table3410111213181422[[#This Row],[  5-11]]-Table3410112[[#This Row],[  5-11]]</f>
        <v>20790</v>
      </c>
      <c r="E2" s="5">
        <f>Table3410111213181422[[#This Row],[  12-17]]-Table3410112[[#This Row],[  12-17]]</f>
        <v>4188</v>
      </c>
      <c r="F2" s="5">
        <f>Table3410111213181422[[#This Row],[  18-24]]-Table3410112[[#This Row],[  18-24]]</f>
        <v>3342</v>
      </c>
      <c r="G2" s="5">
        <f>Table3410111213181422[[#This Row],[  25-29 ]]-Table3410112[[#This Row],[  25-29 ]]</f>
        <v>5651</v>
      </c>
      <c r="H2" s="5">
        <f>Table3410111213181422[[#This Row],[  30-34]]-Table3410112[[#This Row],[  30-34]]</f>
        <v>5059</v>
      </c>
      <c r="I2" s="5">
        <f>Table3410111213181422[[#This Row],[  35-39]]-Table3410112[[#This Row],[  35-39]]</f>
        <v>3622</v>
      </c>
      <c r="J2" s="5">
        <f>Table3410111213181422[[#This Row],[  40-44]]-Table3410112[[#This Row],[  40-44]]</f>
        <v>2197</v>
      </c>
      <c r="K2" s="5">
        <f>Table3410111213181422[[#This Row],[  45-49 ]]-Table3410112[[#This Row],[  45-49 ]]</f>
        <v>2811</v>
      </c>
      <c r="L2" s="5">
        <f>Table3410111213181422[[#This Row],[  50-54]]-Table3410112[[#This Row],[  50-54]]</f>
        <v>1741</v>
      </c>
      <c r="M2" s="5">
        <f>Table3410111213181422[[#This Row],[  55-59]]-Table3410112[[#This Row],[  55-59]]</f>
        <v>2178</v>
      </c>
      <c r="N2" s="5">
        <f>Table3410111213181422[[#This Row],[  60-64]]-Table3410112[[#This Row],[  60-64]]</f>
        <v>1379</v>
      </c>
      <c r="O2" s="5">
        <f>Table3410111213181422[[#This Row],[  65-69]]-Table3410112[[#This Row],[  65-69]]</f>
        <v>994</v>
      </c>
      <c r="P2" s="5">
        <f>Table3410111213181422[[#This Row],[  70-74]]-Table3410112[[#This Row],[  70-74]]</f>
        <v>825</v>
      </c>
      <c r="Q2" s="5">
        <f>Table3410111213181422[[#This Row],[  75-79]]-Table3410112[[#This Row],[  75-79]]</f>
        <v>149</v>
      </c>
      <c r="R2" s="5">
        <f>Table3410111213181422[[#This Row],[  80-84]]-Table3410112[[#This Row],[  80-84]]</f>
        <v>230</v>
      </c>
      <c r="S2" s="5">
        <f>Table3410111213181422[[#This Row],[  85-89]]-Table3410112[[#This Row],[  85-89]]</f>
        <v>188</v>
      </c>
      <c r="T2" s="5">
        <f>Table3410111213181422[[#This Row],[  90+]]-Table3410112[[#This Row],[  90+]]</f>
        <v>231</v>
      </c>
    </row>
    <row r="3" spans="1:20" x14ac:dyDescent="0.2">
      <c r="A3" s="9" t="s">
        <v>1</v>
      </c>
      <c r="B3" s="6" t="s">
        <v>0</v>
      </c>
      <c r="C3" s="5">
        <f>Table3410111213181422[[#This Row],[Total]]-Table3410112[[#This Row],[Total]]</f>
        <v>27423</v>
      </c>
      <c r="D3" s="5">
        <f>Table3410111213181422[[#This Row],[  5-11]]-Table3410112[[#This Row],[  5-11]]</f>
        <v>10724</v>
      </c>
      <c r="E3" s="5">
        <f>Table3410111213181422[[#This Row],[  12-17]]-Table3410112[[#This Row],[  12-17]]</f>
        <v>2233</v>
      </c>
      <c r="F3" s="5">
        <f>Table3410111213181422[[#This Row],[  18-24]]-Table3410112[[#This Row],[  18-24]]</f>
        <v>1765</v>
      </c>
      <c r="G3" s="5">
        <f>Table3410111213181422[[#This Row],[  25-29 ]]-Table3410112[[#This Row],[  25-29 ]]</f>
        <v>2688</v>
      </c>
      <c r="H3" s="5">
        <f>Table3410111213181422[[#This Row],[  30-34]]-Table3410112[[#This Row],[  30-34]]</f>
        <v>2219</v>
      </c>
      <c r="I3" s="5">
        <f>Table3410111213181422[[#This Row],[  35-39]]-Table3410112[[#This Row],[  35-39]]</f>
        <v>1633</v>
      </c>
      <c r="J3" s="5">
        <f>Table3410111213181422[[#This Row],[  40-44]]-Table3410112[[#This Row],[  40-44]]</f>
        <v>1044</v>
      </c>
      <c r="K3" s="5">
        <f>Table3410111213181422[[#This Row],[  45-49 ]]-Table3410112[[#This Row],[  45-49 ]]</f>
        <v>1448</v>
      </c>
      <c r="L3" s="5">
        <f>Table3410111213181422[[#This Row],[  50-54]]-Table3410112[[#This Row],[  50-54]]</f>
        <v>875</v>
      </c>
      <c r="M3" s="5">
        <f>Table3410111213181422[[#This Row],[  55-59]]-Table3410112[[#This Row],[  55-59]]</f>
        <v>1039</v>
      </c>
      <c r="N3" s="5">
        <f>Table3410111213181422[[#This Row],[  60-64]]-Table3410112[[#This Row],[  60-64]]</f>
        <v>638</v>
      </c>
      <c r="O3" s="5">
        <f>Table3410111213181422[[#This Row],[  65-69]]-Table3410112[[#This Row],[  65-69]]</f>
        <v>481</v>
      </c>
      <c r="P3" s="5">
        <f>Table3410111213181422[[#This Row],[  70-74]]-Table3410112[[#This Row],[  70-74]]</f>
        <v>373</v>
      </c>
      <c r="Q3" s="5">
        <f>Table3410111213181422[[#This Row],[  75-79]]-Table3410112[[#This Row],[  75-79]]</f>
        <v>98</v>
      </c>
      <c r="R3" s="5">
        <f>Table3410111213181422[[#This Row],[  80-84]]-Table3410112[[#This Row],[  80-84]]</f>
        <v>44</v>
      </c>
      <c r="S3" s="5">
        <f>Table3410111213181422[[#This Row],[  85-89]]-Table3410112[[#This Row],[  85-89]]</f>
        <v>65</v>
      </c>
      <c r="T3" s="5">
        <f>Table3410111213181422[[#This Row],[  90+]]-Table3410112[[#This Row],[  90+]]</f>
        <v>56</v>
      </c>
    </row>
    <row r="4" spans="1:20" x14ac:dyDescent="0.2">
      <c r="A4" s="9" t="s">
        <v>1</v>
      </c>
      <c r="B4" s="6" t="s">
        <v>23</v>
      </c>
      <c r="C4" s="5">
        <f>Table3410111213181422[[#This Row],[Total]]-Table3410112[[#This Row],[Total]]</f>
        <v>28152</v>
      </c>
      <c r="D4" s="5">
        <f>Table3410111213181422[[#This Row],[  5-11]]-Table3410112[[#This Row],[  5-11]]</f>
        <v>10066</v>
      </c>
      <c r="E4" s="5">
        <f>Table3410111213181422[[#This Row],[  12-17]]-Table3410112[[#This Row],[  12-17]]</f>
        <v>1955</v>
      </c>
      <c r="F4" s="5">
        <f>Table3410111213181422[[#This Row],[  18-24]]-Table3410112[[#This Row],[  18-24]]</f>
        <v>1577</v>
      </c>
      <c r="G4" s="5">
        <f>Table3410111213181422[[#This Row],[  25-29 ]]-Table3410112[[#This Row],[  25-29 ]]</f>
        <v>2963</v>
      </c>
      <c r="H4" s="5">
        <f>Table3410111213181422[[#This Row],[  30-34]]-Table3410112[[#This Row],[  30-34]]</f>
        <v>2840</v>
      </c>
      <c r="I4" s="5">
        <f>Table3410111213181422[[#This Row],[  35-39]]-Table3410112[[#This Row],[  35-39]]</f>
        <v>1989</v>
      </c>
      <c r="J4" s="5">
        <f>Table3410111213181422[[#This Row],[  40-44]]-Table3410112[[#This Row],[  40-44]]</f>
        <v>1153</v>
      </c>
      <c r="K4" s="5">
        <f>Table3410111213181422[[#This Row],[  45-49 ]]-Table3410112[[#This Row],[  45-49 ]]</f>
        <v>1363</v>
      </c>
      <c r="L4" s="5">
        <f>Table3410111213181422[[#This Row],[  50-54]]-Table3410112[[#This Row],[  50-54]]</f>
        <v>866</v>
      </c>
      <c r="M4" s="5">
        <f>Table3410111213181422[[#This Row],[  55-59]]-Table3410112[[#This Row],[  55-59]]</f>
        <v>1139</v>
      </c>
      <c r="N4" s="5">
        <f>Table3410111213181422[[#This Row],[  60-64]]-Table3410112[[#This Row],[  60-64]]</f>
        <v>741</v>
      </c>
      <c r="O4" s="5">
        <f>Table3410111213181422[[#This Row],[  65-69]]-Table3410112[[#This Row],[  65-69]]</f>
        <v>513</v>
      </c>
      <c r="P4" s="5">
        <f>Table3410111213181422[[#This Row],[  70-74]]-Table3410112[[#This Row],[  70-74]]</f>
        <v>452</v>
      </c>
      <c r="Q4" s="5">
        <f>Table3410111213181422[[#This Row],[  75-79]]-Table3410112[[#This Row],[  75-79]]</f>
        <v>51</v>
      </c>
      <c r="R4" s="5">
        <f>Table3410111213181422[[#This Row],[  80-84]]-Table3410112[[#This Row],[  80-84]]</f>
        <v>186</v>
      </c>
      <c r="S4" s="5">
        <f>Table3410111213181422[[#This Row],[  85-89]]-Table3410112[[#This Row],[  85-89]]</f>
        <v>123</v>
      </c>
      <c r="T4" s="5">
        <f>Table3410111213181422[[#This Row],[  90+]]-Table3410112[[#This Row],[  90+]]</f>
        <v>175</v>
      </c>
    </row>
    <row r="5" spans="1:20" ht="15" x14ac:dyDescent="0.2">
      <c r="A5" s="8" t="s">
        <v>2</v>
      </c>
      <c r="B5" s="6" t="s">
        <v>22</v>
      </c>
      <c r="C5" s="5">
        <f>Table3410111213181422[[#This Row],[Total]]-Table3410112[[#This Row],[Total]]</f>
        <v>30545</v>
      </c>
      <c r="D5" s="5">
        <f>Table3410111213181422[[#This Row],[  5-11]]-Table3410112[[#This Row],[  5-11]]</f>
        <v>12240</v>
      </c>
      <c r="E5" s="5">
        <f>Table3410111213181422[[#This Row],[  12-17]]-Table3410112[[#This Row],[  12-17]]</f>
        <v>2962</v>
      </c>
      <c r="F5" s="5">
        <f>Table3410111213181422[[#This Row],[  18-24]]-Table3410112[[#This Row],[  18-24]]</f>
        <v>1822</v>
      </c>
      <c r="G5" s="5">
        <f>Table3410111213181422[[#This Row],[  25-29 ]]-Table3410112[[#This Row],[  25-29 ]]</f>
        <v>1735</v>
      </c>
      <c r="H5" s="5">
        <f>Table3410111213181422[[#This Row],[  30-34]]-Table3410112[[#This Row],[  30-34]]</f>
        <v>1502</v>
      </c>
      <c r="I5" s="5">
        <f>Table3410111213181422[[#This Row],[  35-39]]-Table3410112[[#This Row],[  35-39]]</f>
        <v>1215</v>
      </c>
      <c r="J5" s="5">
        <f>Table3410111213181422[[#This Row],[  40-44]]-Table3410112[[#This Row],[  40-44]]</f>
        <v>1240</v>
      </c>
      <c r="K5" s="5">
        <f>Table3410111213181422[[#This Row],[  45-49 ]]-Table3410112[[#This Row],[  45-49 ]]</f>
        <v>1581</v>
      </c>
      <c r="L5" s="5">
        <f>Table3410111213181422[[#This Row],[  50-54]]-Table3410112[[#This Row],[  50-54]]</f>
        <v>1157</v>
      </c>
      <c r="M5" s="5">
        <f>Table3410111213181422[[#This Row],[  55-59]]-Table3410112[[#This Row],[  55-59]]</f>
        <v>1661</v>
      </c>
      <c r="N5" s="5">
        <f>Table3410111213181422[[#This Row],[  60-64]]-Table3410112[[#This Row],[  60-64]]</f>
        <v>1112</v>
      </c>
      <c r="O5" s="5">
        <f>Table3410111213181422[[#This Row],[  65-69]]-Table3410112[[#This Row],[  65-69]]</f>
        <v>1066</v>
      </c>
      <c r="P5" s="5">
        <f>Table3410111213181422[[#This Row],[  70-74]]-Table3410112[[#This Row],[  70-74]]</f>
        <v>947</v>
      </c>
      <c r="Q5" s="5">
        <f>Table3410111213181422[[#This Row],[  75-79]]-Table3410112[[#This Row],[  75-79]]</f>
        <v>-14</v>
      </c>
      <c r="R5" s="5">
        <f>Table3410111213181422[[#This Row],[  80-84]]-Table3410112[[#This Row],[  80-84]]</f>
        <v>99</v>
      </c>
      <c r="S5" s="5">
        <f>Table3410111213181422[[#This Row],[  85-89]]-Table3410112[[#This Row],[  85-89]]</f>
        <v>67</v>
      </c>
      <c r="T5" s="5">
        <f>Table3410111213181422[[#This Row],[  90+]]-Table3410112[[#This Row],[  90+]]</f>
        <v>153</v>
      </c>
    </row>
    <row r="6" spans="1:20" ht="15" x14ac:dyDescent="0.2">
      <c r="A6" s="8" t="s">
        <v>2</v>
      </c>
      <c r="B6" s="6" t="s">
        <v>0</v>
      </c>
      <c r="C6" s="5">
        <f>Table3410111213181422[[#This Row],[Total]]-Table3410112[[#This Row],[Total]]</f>
        <v>14858</v>
      </c>
      <c r="D6" s="5">
        <f>Table3410111213181422[[#This Row],[  5-11]]-Table3410112[[#This Row],[  5-11]]</f>
        <v>6244</v>
      </c>
      <c r="E6" s="5">
        <f>Table3410111213181422[[#This Row],[  12-17]]-Table3410112[[#This Row],[  12-17]]</f>
        <v>1544</v>
      </c>
      <c r="F6" s="5">
        <f>Table3410111213181422[[#This Row],[  18-24]]-Table3410112[[#This Row],[  18-24]]</f>
        <v>968</v>
      </c>
      <c r="G6" s="5">
        <f>Table3410111213181422[[#This Row],[  25-29 ]]-Table3410112[[#This Row],[  25-29 ]]</f>
        <v>829</v>
      </c>
      <c r="H6" s="5">
        <f>Table3410111213181422[[#This Row],[  30-34]]-Table3410112[[#This Row],[  30-34]]</f>
        <v>612</v>
      </c>
      <c r="I6" s="5">
        <f>Table3410111213181422[[#This Row],[  35-39]]-Table3410112[[#This Row],[  35-39]]</f>
        <v>501</v>
      </c>
      <c r="J6" s="5">
        <f>Table3410111213181422[[#This Row],[  40-44]]-Table3410112[[#This Row],[  40-44]]</f>
        <v>529</v>
      </c>
      <c r="K6" s="5">
        <f>Table3410111213181422[[#This Row],[  45-49 ]]-Table3410112[[#This Row],[  45-49 ]]</f>
        <v>739</v>
      </c>
      <c r="L6" s="5">
        <f>Table3410111213181422[[#This Row],[  50-54]]-Table3410112[[#This Row],[  50-54]]</f>
        <v>491</v>
      </c>
      <c r="M6" s="5">
        <f>Table3410111213181422[[#This Row],[  55-59]]-Table3410112[[#This Row],[  55-59]]</f>
        <v>789</v>
      </c>
      <c r="N6" s="5">
        <f>Table3410111213181422[[#This Row],[  60-64]]-Table3410112[[#This Row],[  60-64]]</f>
        <v>495</v>
      </c>
      <c r="O6" s="5">
        <f>Table3410111213181422[[#This Row],[  65-69]]-Table3410112[[#This Row],[  65-69]]</f>
        <v>500</v>
      </c>
      <c r="P6" s="5">
        <f>Table3410111213181422[[#This Row],[  70-74]]-Table3410112[[#This Row],[  70-74]]</f>
        <v>471</v>
      </c>
      <c r="Q6" s="5">
        <f>Table3410111213181422[[#This Row],[  75-79]]-Table3410112[[#This Row],[  75-79]]</f>
        <v>-18</v>
      </c>
      <c r="R6" s="5">
        <f>Table3410111213181422[[#This Row],[  80-84]]-Table3410112[[#This Row],[  80-84]]</f>
        <v>67</v>
      </c>
      <c r="S6" s="5">
        <f>Table3410111213181422[[#This Row],[  85-89]]-Table3410112[[#This Row],[  85-89]]</f>
        <v>46</v>
      </c>
      <c r="T6" s="5">
        <f>Table3410111213181422[[#This Row],[  90+]]-Table3410112[[#This Row],[  90+]]</f>
        <v>51</v>
      </c>
    </row>
    <row r="7" spans="1:20" ht="15" x14ac:dyDescent="0.2">
      <c r="A7" s="8" t="s">
        <v>2</v>
      </c>
      <c r="B7" s="6" t="s">
        <v>23</v>
      </c>
      <c r="C7" s="5">
        <f>Table3410111213181422[[#This Row],[Total]]-Table3410112[[#This Row],[Total]]</f>
        <v>15687</v>
      </c>
      <c r="D7" s="5">
        <f>Table3410111213181422[[#This Row],[  5-11]]-Table3410112[[#This Row],[  5-11]]</f>
        <v>5996</v>
      </c>
      <c r="E7" s="5">
        <f>Table3410111213181422[[#This Row],[  12-17]]-Table3410112[[#This Row],[  12-17]]</f>
        <v>1418</v>
      </c>
      <c r="F7" s="5">
        <f>Table3410111213181422[[#This Row],[  18-24]]-Table3410112[[#This Row],[  18-24]]</f>
        <v>854</v>
      </c>
      <c r="G7" s="5">
        <f>Table3410111213181422[[#This Row],[  25-29 ]]-Table3410112[[#This Row],[  25-29 ]]</f>
        <v>906</v>
      </c>
      <c r="H7" s="5">
        <f>Table3410111213181422[[#This Row],[  30-34]]-Table3410112[[#This Row],[  30-34]]</f>
        <v>890</v>
      </c>
      <c r="I7" s="5">
        <f>Table3410111213181422[[#This Row],[  35-39]]-Table3410112[[#This Row],[  35-39]]</f>
        <v>714</v>
      </c>
      <c r="J7" s="5">
        <f>Table3410111213181422[[#This Row],[  40-44]]-Table3410112[[#This Row],[  40-44]]</f>
        <v>711</v>
      </c>
      <c r="K7" s="5">
        <f>Table3410111213181422[[#This Row],[  45-49 ]]-Table3410112[[#This Row],[  45-49 ]]</f>
        <v>842</v>
      </c>
      <c r="L7" s="5">
        <f>Table3410111213181422[[#This Row],[  50-54]]-Table3410112[[#This Row],[  50-54]]</f>
        <v>666</v>
      </c>
      <c r="M7" s="5">
        <f>Table3410111213181422[[#This Row],[  55-59]]-Table3410112[[#This Row],[  55-59]]</f>
        <v>872</v>
      </c>
      <c r="N7" s="5">
        <f>Table3410111213181422[[#This Row],[  60-64]]-Table3410112[[#This Row],[  60-64]]</f>
        <v>617</v>
      </c>
      <c r="O7" s="5">
        <f>Table3410111213181422[[#This Row],[  65-69]]-Table3410112[[#This Row],[  65-69]]</f>
        <v>566</v>
      </c>
      <c r="P7" s="5">
        <f>Table3410111213181422[[#This Row],[  70-74]]-Table3410112[[#This Row],[  70-74]]</f>
        <v>476</v>
      </c>
      <c r="Q7" s="5">
        <f>Table3410111213181422[[#This Row],[  75-79]]-Table3410112[[#This Row],[  75-79]]</f>
        <v>4</v>
      </c>
      <c r="R7" s="5">
        <f>Table3410111213181422[[#This Row],[  80-84]]-Table3410112[[#This Row],[  80-84]]</f>
        <v>32</v>
      </c>
      <c r="S7" s="5">
        <f>Table3410111213181422[[#This Row],[  85-89]]-Table3410112[[#This Row],[  85-89]]</f>
        <v>21</v>
      </c>
      <c r="T7" s="5">
        <f>Table3410111213181422[[#This Row],[  90+]]-Table3410112[[#This Row],[  90+]]</f>
        <v>102</v>
      </c>
    </row>
    <row r="8" spans="1:20" x14ac:dyDescent="0.2">
      <c r="A8" s="9" t="s">
        <v>3</v>
      </c>
      <c r="B8" s="6" t="s">
        <v>22</v>
      </c>
      <c r="C8" s="5">
        <f>Table3410111213181422[[#This Row],[Total]]-Table3410112[[#This Row],[Total]]</f>
        <v>55254</v>
      </c>
      <c r="D8" s="5">
        <f>Table3410111213181422[[#This Row],[  5-11]]-Table3410112[[#This Row],[  5-11]]</f>
        <v>26843</v>
      </c>
      <c r="E8" s="5">
        <f>Table3410111213181422[[#This Row],[  12-17]]-Table3410112[[#This Row],[  12-17]]</f>
        <v>5115</v>
      </c>
      <c r="F8" s="5">
        <f>Table3410111213181422[[#This Row],[  18-24]]-Table3410112[[#This Row],[  18-24]]</f>
        <v>2287</v>
      </c>
      <c r="G8" s="5">
        <f>Table3410111213181422[[#This Row],[  25-29 ]]-Table3410112[[#This Row],[  25-29 ]]</f>
        <v>4031</v>
      </c>
      <c r="H8" s="5">
        <f>Table3410111213181422[[#This Row],[  30-34]]-Table3410112[[#This Row],[  30-34]]</f>
        <v>3046</v>
      </c>
      <c r="I8" s="5">
        <f>Table3410111213181422[[#This Row],[  35-39]]-Table3410112[[#This Row],[  35-39]]</f>
        <v>2346</v>
      </c>
      <c r="J8" s="5">
        <f>Table3410111213181422[[#This Row],[  40-44]]-Table3410112[[#This Row],[  40-44]]</f>
        <v>1756</v>
      </c>
      <c r="K8" s="5">
        <f>Table3410111213181422[[#This Row],[  45-49 ]]-Table3410112[[#This Row],[  45-49 ]]</f>
        <v>3111</v>
      </c>
      <c r="L8" s="5">
        <f>Table3410111213181422[[#This Row],[  50-54]]-Table3410112[[#This Row],[  50-54]]</f>
        <v>1810</v>
      </c>
      <c r="M8" s="5">
        <f>Table3410111213181422[[#This Row],[  55-59]]-Table3410112[[#This Row],[  55-59]]</f>
        <v>2181</v>
      </c>
      <c r="N8" s="5">
        <f>Table3410111213181422[[#This Row],[  60-64]]-Table3410112[[#This Row],[  60-64]]</f>
        <v>1170</v>
      </c>
      <c r="O8" s="5">
        <f>Table3410111213181422[[#This Row],[  65-69]]-Table3410112[[#This Row],[  65-69]]</f>
        <v>795</v>
      </c>
      <c r="P8" s="5">
        <f>Table3410111213181422[[#This Row],[  70-74]]-Table3410112[[#This Row],[  70-74]]</f>
        <v>1012</v>
      </c>
      <c r="Q8" s="5">
        <f>Table3410111213181422[[#This Row],[  75-79]]-Table3410112[[#This Row],[  75-79]]</f>
        <v>-493</v>
      </c>
      <c r="R8" s="5">
        <f>Table3410111213181422[[#This Row],[  80-84]]-Table3410112[[#This Row],[  80-84]]</f>
        <v>25</v>
      </c>
      <c r="S8" s="5">
        <f>Table3410111213181422[[#This Row],[  85-89]]-Table3410112[[#This Row],[  85-89]]</f>
        <v>18</v>
      </c>
      <c r="T8" s="5">
        <f>Table3410111213181422[[#This Row],[  90+]]-Table3410112[[#This Row],[  90+]]</f>
        <v>201</v>
      </c>
    </row>
    <row r="9" spans="1:20" x14ac:dyDescent="0.2">
      <c r="A9" s="9" t="s">
        <v>3</v>
      </c>
      <c r="B9" s="6" t="s">
        <v>0</v>
      </c>
      <c r="C9" s="5">
        <f>Table3410111213181422[[#This Row],[Total]]-Table3410112[[#This Row],[Total]]</f>
        <v>28093</v>
      </c>
      <c r="D9" s="5">
        <f>Table3410111213181422[[#This Row],[  5-11]]-Table3410112[[#This Row],[  5-11]]</f>
        <v>13718</v>
      </c>
      <c r="E9" s="5">
        <f>Table3410111213181422[[#This Row],[  12-17]]-Table3410112[[#This Row],[  12-17]]</f>
        <v>2702</v>
      </c>
      <c r="F9" s="5">
        <f>Table3410111213181422[[#This Row],[  18-24]]-Table3410112[[#This Row],[  18-24]]</f>
        <v>1195</v>
      </c>
      <c r="G9" s="5">
        <f>Table3410111213181422[[#This Row],[  25-29 ]]-Table3410112[[#This Row],[  25-29 ]]</f>
        <v>1962</v>
      </c>
      <c r="H9" s="5">
        <f>Table3410111213181422[[#This Row],[  30-34]]-Table3410112[[#This Row],[  30-34]]</f>
        <v>1608</v>
      </c>
      <c r="I9" s="5">
        <f>Table3410111213181422[[#This Row],[  35-39]]-Table3410112[[#This Row],[  35-39]]</f>
        <v>1141</v>
      </c>
      <c r="J9" s="5">
        <f>Table3410111213181422[[#This Row],[  40-44]]-Table3410112[[#This Row],[  40-44]]</f>
        <v>851</v>
      </c>
      <c r="K9" s="5">
        <f>Table3410111213181422[[#This Row],[  45-49 ]]-Table3410112[[#This Row],[  45-49 ]]</f>
        <v>1537</v>
      </c>
      <c r="L9" s="5">
        <f>Table3410111213181422[[#This Row],[  50-54]]-Table3410112[[#This Row],[  50-54]]</f>
        <v>937</v>
      </c>
      <c r="M9" s="5">
        <f>Table3410111213181422[[#This Row],[  55-59]]-Table3410112[[#This Row],[  55-59]]</f>
        <v>1091</v>
      </c>
      <c r="N9" s="5">
        <f>Table3410111213181422[[#This Row],[  60-64]]-Table3410112[[#This Row],[  60-64]]</f>
        <v>589</v>
      </c>
      <c r="O9" s="5">
        <f>Table3410111213181422[[#This Row],[  65-69]]-Table3410112[[#This Row],[  65-69]]</f>
        <v>381</v>
      </c>
      <c r="P9" s="5">
        <f>Table3410111213181422[[#This Row],[  70-74]]-Table3410112[[#This Row],[  70-74]]</f>
        <v>511</v>
      </c>
      <c r="Q9" s="5">
        <f>Table3410111213181422[[#This Row],[  75-79]]-Table3410112[[#This Row],[  75-79]]</f>
        <v>-158</v>
      </c>
      <c r="R9" s="5">
        <f>Table3410111213181422[[#This Row],[  80-84]]-Table3410112[[#This Row],[  80-84]]</f>
        <v>-7</v>
      </c>
      <c r="S9" s="5">
        <f>Table3410111213181422[[#This Row],[  85-89]]-Table3410112[[#This Row],[  85-89]]</f>
        <v>-23</v>
      </c>
      <c r="T9" s="5">
        <f>Table3410111213181422[[#This Row],[  90+]]-Table3410112[[#This Row],[  90+]]</f>
        <v>58</v>
      </c>
    </row>
    <row r="10" spans="1:20" x14ac:dyDescent="0.2">
      <c r="A10" s="9" t="s">
        <v>3</v>
      </c>
      <c r="B10" s="6" t="s">
        <v>23</v>
      </c>
      <c r="C10" s="5">
        <f>Table3410111213181422[[#This Row],[Total]]-Table3410112[[#This Row],[Total]]</f>
        <v>27161</v>
      </c>
      <c r="D10" s="5">
        <f>Table3410111213181422[[#This Row],[  5-11]]-Table3410112[[#This Row],[  5-11]]</f>
        <v>13125</v>
      </c>
      <c r="E10" s="5">
        <f>Table3410111213181422[[#This Row],[  12-17]]-Table3410112[[#This Row],[  12-17]]</f>
        <v>2413</v>
      </c>
      <c r="F10" s="5">
        <f>Table3410111213181422[[#This Row],[  18-24]]-Table3410112[[#This Row],[  18-24]]</f>
        <v>1092</v>
      </c>
      <c r="G10" s="5">
        <f>Table3410111213181422[[#This Row],[  25-29 ]]-Table3410112[[#This Row],[  25-29 ]]</f>
        <v>2069</v>
      </c>
      <c r="H10" s="5">
        <f>Table3410111213181422[[#This Row],[  30-34]]-Table3410112[[#This Row],[  30-34]]</f>
        <v>1438</v>
      </c>
      <c r="I10" s="5">
        <f>Table3410111213181422[[#This Row],[  35-39]]-Table3410112[[#This Row],[  35-39]]</f>
        <v>1205</v>
      </c>
      <c r="J10" s="5">
        <f>Table3410111213181422[[#This Row],[  40-44]]-Table3410112[[#This Row],[  40-44]]</f>
        <v>905</v>
      </c>
      <c r="K10" s="5">
        <f>Table3410111213181422[[#This Row],[  45-49 ]]-Table3410112[[#This Row],[  45-49 ]]</f>
        <v>1574</v>
      </c>
      <c r="L10" s="5">
        <f>Table3410111213181422[[#This Row],[  50-54]]-Table3410112[[#This Row],[  50-54]]</f>
        <v>873</v>
      </c>
      <c r="M10" s="5">
        <f>Table3410111213181422[[#This Row],[  55-59]]-Table3410112[[#This Row],[  55-59]]</f>
        <v>1090</v>
      </c>
      <c r="N10" s="5">
        <f>Table3410111213181422[[#This Row],[  60-64]]-Table3410112[[#This Row],[  60-64]]</f>
        <v>581</v>
      </c>
      <c r="O10" s="5">
        <f>Table3410111213181422[[#This Row],[  65-69]]-Table3410112[[#This Row],[  65-69]]</f>
        <v>414</v>
      </c>
      <c r="P10" s="5">
        <f>Table3410111213181422[[#This Row],[  70-74]]-Table3410112[[#This Row],[  70-74]]</f>
        <v>501</v>
      </c>
      <c r="Q10" s="5">
        <f>Table3410111213181422[[#This Row],[  75-79]]-Table3410112[[#This Row],[  75-79]]</f>
        <v>-335</v>
      </c>
      <c r="R10" s="5">
        <f>Table3410111213181422[[#This Row],[  80-84]]-Table3410112[[#This Row],[  80-84]]</f>
        <v>32</v>
      </c>
      <c r="S10" s="5">
        <f>Table3410111213181422[[#This Row],[  85-89]]-Table3410112[[#This Row],[  85-89]]</f>
        <v>41</v>
      </c>
      <c r="T10" s="5">
        <f>Table3410111213181422[[#This Row],[  90+]]-Table3410112[[#This Row],[  90+]]</f>
        <v>143</v>
      </c>
    </row>
    <row r="11" spans="1:20" x14ac:dyDescent="0.2">
      <c r="A11" s="9" t="s">
        <v>4</v>
      </c>
      <c r="B11" s="6" t="s">
        <v>22</v>
      </c>
      <c r="C11" s="5">
        <f>Table3410111213181422[[#This Row],[Total]]-Table3410112[[#This Row],[Total]]</f>
        <v>27127</v>
      </c>
      <c r="D11" s="5">
        <f>Table3410111213181422[[#This Row],[  5-11]]-Table3410112[[#This Row],[  5-11]]</f>
        <v>11114</v>
      </c>
      <c r="E11" s="5">
        <f>Table3410111213181422[[#This Row],[  12-17]]-Table3410112[[#This Row],[  12-17]]</f>
        <v>2043</v>
      </c>
      <c r="F11" s="5">
        <f>Table3410111213181422[[#This Row],[  18-24]]-Table3410112[[#This Row],[  18-24]]</f>
        <v>1579</v>
      </c>
      <c r="G11" s="5">
        <f>Table3410111213181422[[#This Row],[  25-29 ]]-Table3410112[[#This Row],[  25-29 ]]</f>
        <v>2435</v>
      </c>
      <c r="H11" s="5">
        <f>Table3410111213181422[[#This Row],[  30-34]]-Table3410112[[#This Row],[  30-34]]</f>
        <v>2053</v>
      </c>
      <c r="I11" s="5">
        <f>Table3410111213181422[[#This Row],[  35-39]]-Table3410112[[#This Row],[  35-39]]</f>
        <v>1799</v>
      </c>
      <c r="J11" s="5">
        <f>Table3410111213181422[[#This Row],[  40-44]]-Table3410112[[#This Row],[  40-44]]</f>
        <v>1062</v>
      </c>
      <c r="K11" s="5">
        <f>Table3410111213181422[[#This Row],[  45-49 ]]-Table3410112[[#This Row],[  45-49 ]]</f>
        <v>1579</v>
      </c>
      <c r="L11" s="5">
        <f>Table3410111213181422[[#This Row],[  50-54]]-Table3410112[[#This Row],[  50-54]]</f>
        <v>989</v>
      </c>
      <c r="M11" s="5">
        <f>Table3410111213181422[[#This Row],[  55-59]]-Table3410112[[#This Row],[  55-59]]</f>
        <v>974</v>
      </c>
      <c r="N11" s="5">
        <f>Table3410111213181422[[#This Row],[  60-64]]-Table3410112[[#This Row],[  60-64]]</f>
        <v>435</v>
      </c>
      <c r="O11" s="5">
        <f>Table3410111213181422[[#This Row],[  65-69]]-Table3410112[[#This Row],[  65-69]]</f>
        <v>651</v>
      </c>
      <c r="P11" s="5">
        <f>Table3410111213181422[[#This Row],[  70-74]]-Table3410112[[#This Row],[  70-74]]</f>
        <v>453</v>
      </c>
      <c r="Q11" s="5">
        <f>Table3410111213181422[[#This Row],[  75-79]]-Table3410112[[#This Row],[  75-79]]</f>
        <v>-161</v>
      </c>
      <c r="R11" s="5">
        <f>Table3410111213181422[[#This Row],[  80-84]]-Table3410112[[#This Row],[  80-84]]</f>
        <v>-44</v>
      </c>
      <c r="S11" s="5">
        <f>Table3410111213181422[[#This Row],[  85-89]]-Table3410112[[#This Row],[  85-89]]</f>
        <v>93</v>
      </c>
      <c r="T11" s="5">
        <f>Table3410111213181422[[#This Row],[  90+]]-Table3410112[[#This Row],[  90+]]</f>
        <v>73</v>
      </c>
    </row>
    <row r="12" spans="1:20" x14ac:dyDescent="0.2">
      <c r="A12" s="9" t="s">
        <v>4</v>
      </c>
      <c r="B12" s="6" t="s">
        <v>0</v>
      </c>
      <c r="C12" s="5">
        <f>Table3410111213181422[[#This Row],[Total]]-Table3410112[[#This Row],[Total]]</f>
        <v>13468</v>
      </c>
      <c r="D12" s="5">
        <f>Table3410111213181422[[#This Row],[  5-11]]-Table3410112[[#This Row],[  5-11]]</f>
        <v>5734</v>
      </c>
      <c r="E12" s="5">
        <f>Table3410111213181422[[#This Row],[  12-17]]-Table3410112[[#This Row],[  12-17]]</f>
        <v>1021</v>
      </c>
      <c r="F12" s="5">
        <f>Table3410111213181422[[#This Row],[  18-24]]-Table3410112[[#This Row],[  18-24]]</f>
        <v>864</v>
      </c>
      <c r="G12" s="5">
        <f>Table3410111213181422[[#This Row],[  25-29 ]]-Table3410112[[#This Row],[  25-29 ]]</f>
        <v>1115</v>
      </c>
      <c r="H12" s="5">
        <f>Table3410111213181422[[#This Row],[  30-34]]-Table3410112[[#This Row],[  30-34]]</f>
        <v>964</v>
      </c>
      <c r="I12" s="5">
        <f>Table3410111213181422[[#This Row],[  35-39]]-Table3410112[[#This Row],[  35-39]]</f>
        <v>813</v>
      </c>
      <c r="J12" s="5">
        <f>Table3410111213181422[[#This Row],[  40-44]]-Table3410112[[#This Row],[  40-44]]</f>
        <v>601</v>
      </c>
      <c r="K12" s="5">
        <f>Table3410111213181422[[#This Row],[  45-49 ]]-Table3410112[[#This Row],[  45-49 ]]</f>
        <v>763</v>
      </c>
      <c r="L12" s="5">
        <f>Table3410111213181422[[#This Row],[  50-54]]-Table3410112[[#This Row],[  50-54]]</f>
        <v>455</v>
      </c>
      <c r="M12" s="5">
        <f>Table3410111213181422[[#This Row],[  55-59]]-Table3410112[[#This Row],[  55-59]]</f>
        <v>498</v>
      </c>
      <c r="N12" s="5">
        <f>Table3410111213181422[[#This Row],[  60-64]]-Table3410112[[#This Row],[  60-64]]</f>
        <v>243</v>
      </c>
      <c r="O12" s="5">
        <f>Table3410111213181422[[#This Row],[  65-69]]-Table3410112[[#This Row],[  65-69]]</f>
        <v>291</v>
      </c>
      <c r="P12" s="5">
        <f>Table3410111213181422[[#This Row],[  70-74]]-Table3410112[[#This Row],[  70-74]]</f>
        <v>234</v>
      </c>
      <c r="Q12" s="5">
        <f>Table3410111213181422[[#This Row],[  75-79]]-Table3410112[[#This Row],[  75-79]]</f>
        <v>-114</v>
      </c>
      <c r="R12" s="5">
        <f>Table3410111213181422[[#This Row],[  80-84]]-Table3410112[[#This Row],[  80-84]]</f>
        <v>-71</v>
      </c>
      <c r="S12" s="5">
        <f>Table3410111213181422[[#This Row],[  85-89]]-Table3410112[[#This Row],[  85-89]]</f>
        <v>34</v>
      </c>
      <c r="T12" s="5">
        <f>Table3410111213181422[[#This Row],[  90+]]-Table3410112[[#This Row],[  90+]]</f>
        <v>23</v>
      </c>
    </row>
    <row r="13" spans="1:20" x14ac:dyDescent="0.2">
      <c r="A13" s="9" t="s">
        <v>4</v>
      </c>
      <c r="B13" s="6" t="s">
        <v>23</v>
      </c>
      <c r="C13" s="5">
        <f>Table3410111213181422[[#This Row],[Total]]-Table3410112[[#This Row],[Total]]</f>
        <v>13659</v>
      </c>
      <c r="D13" s="5">
        <f>Table3410111213181422[[#This Row],[  5-11]]-Table3410112[[#This Row],[  5-11]]</f>
        <v>5380</v>
      </c>
      <c r="E13" s="5">
        <f>Table3410111213181422[[#This Row],[  12-17]]-Table3410112[[#This Row],[  12-17]]</f>
        <v>1022</v>
      </c>
      <c r="F13" s="5">
        <f>Table3410111213181422[[#This Row],[  18-24]]-Table3410112[[#This Row],[  18-24]]</f>
        <v>715</v>
      </c>
      <c r="G13" s="5">
        <f>Table3410111213181422[[#This Row],[  25-29 ]]-Table3410112[[#This Row],[  25-29 ]]</f>
        <v>1320</v>
      </c>
      <c r="H13" s="5">
        <f>Table3410111213181422[[#This Row],[  30-34]]-Table3410112[[#This Row],[  30-34]]</f>
        <v>1089</v>
      </c>
      <c r="I13" s="5">
        <f>Table3410111213181422[[#This Row],[  35-39]]-Table3410112[[#This Row],[  35-39]]</f>
        <v>986</v>
      </c>
      <c r="J13" s="5">
        <f>Table3410111213181422[[#This Row],[  40-44]]-Table3410112[[#This Row],[  40-44]]</f>
        <v>461</v>
      </c>
      <c r="K13" s="5">
        <f>Table3410111213181422[[#This Row],[  45-49 ]]-Table3410112[[#This Row],[  45-49 ]]</f>
        <v>816</v>
      </c>
      <c r="L13" s="5">
        <f>Table3410111213181422[[#This Row],[  50-54]]-Table3410112[[#This Row],[  50-54]]</f>
        <v>534</v>
      </c>
      <c r="M13" s="5">
        <f>Table3410111213181422[[#This Row],[  55-59]]-Table3410112[[#This Row],[  55-59]]</f>
        <v>476</v>
      </c>
      <c r="N13" s="5">
        <f>Table3410111213181422[[#This Row],[  60-64]]-Table3410112[[#This Row],[  60-64]]</f>
        <v>192</v>
      </c>
      <c r="O13" s="5">
        <f>Table3410111213181422[[#This Row],[  65-69]]-Table3410112[[#This Row],[  65-69]]</f>
        <v>360</v>
      </c>
      <c r="P13" s="5">
        <f>Table3410111213181422[[#This Row],[  70-74]]-Table3410112[[#This Row],[  70-74]]</f>
        <v>219</v>
      </c>
      <c r="Q13" s="5">
        <f>Table3410111213181422[[#This Row],[  75-79]]-Table3410112[[#This Row],[  75-79]]</f>
        <v>-47</v>
      </c>
      <c r="R13" s="5">
        <f>Table3410111213181422[[#This Row],[  80-84]]-Table3410112[[#This Row],[  80-84]]</f>
        <v>27</v>
      </c>
      <c r="S13" s="5">
        <f>Table3410111213181422[[#This Row],[  85-89]]-Table3410112[[#This Row],[  85-89]]</f>
        <v>59</v>
      </c>
      <c r="T13" s="5">
        <f>Table3410111213181422[[#This Row],[  90+]]-Table3410112[[#This Row],[  90+]]</f>
        <v>50</v>
      </c>
    </row>
    <row r="14" spans="1:20" x14ac:dyDescent="0.2">
      <c r="A14" s="9" t="s">
        <v>5</v>
      </c>
      <c r="B14" s="6" t="s">
        <v>22</v>
      </c>
      <c r="C14" s="5">
        <f>Table3410111213181422[[#This Row],[Total]]-Table3410112[[#This Row],[Total]]</f>
        <v>73402</v>
      </c>
      <c r="D14" s="5">
        <f>Table3410111213181422[[#This Row],[  5-11]]-Table3410112[[#This Row],[  5-11]]</f>
        <v>34738</v>
      </c>
      <c r="E14" s="5">
        <f>Table3410111213181422[[#This Row],[  12-17]]-Table3410112[[#This Row],[  12-17]]</f>
        <v>7058</v>
      </c>
      <c r="F14" s="5">
        <f>Table3410111213181422[[#This Row],[  18-24]]-Table3410112[[#This Row],[  18-24]]</f>
        <v>4641</v>
      </c>
      <c r="G14" s="5">
        <f>Table3410111213181422[[#This Row],[  25-29 ]]-Table3410112[[#This Row],[  25-29 ]]</f>
        <v>5461</v>
      </c>
      <c r="H14" s="5">
        <f>Table3410111213181422[[#This Row],[  30-34]]-Table3410112[[#This Row],[  30-34]]</f>
        <v>3896</v>
      </c>
      <c r="I14" s="5">
        <f>Table3410111213181422[[#This Row],[  35-39]]-Table3410112[[#This Row],[  35-39]]</f>
        <v>2896</v>
      </c>
      <c r="J14" s="5">
        <f>Table3410111213181422[[#This Row],[  40-44]]-Table3410112[[#This Row],[  40-44]]</f>
        <v>1854</v>
      </c>
      <c r="K14" s="5">
        <f>Table3410111213181422[[#This Row],[  45-49 ]]-Table3410112[[#This Row],[  45-49 ]]</f>
        <v>2735</v>
      </c>
      <c r="L14" s="5">
        <f>Table3410111213181422[[#This Row],[  50-54]]-Table3410112[[#This Row],[  50-54]]</f>
        <v>2322</v>
      </c>
      <c r="M14" s="5">
        <f>Table3410111213181422[[#This Row],[  55-59]]-Table3410112[[#This Row],[  55-59]]</f>
        <v>2754</v>
      </c>
      <c r="N14" s="5">
        <f>Table3410111213181422[[#This Row],[  60-64]]-Table3410112[[#This Row],[  60-64]]</f>
        <v>1456</v>
      </c>
      <c r="O14" s="5">
        <f>Table3410111213181422[[#This Row],[  65-69]]-Table3410112[[#This Row],[  65-69]]</f>
        <v>1493</v>
      </c>
      <c r="P14" s="5">
        <f>Table3410111213181422[[#This Row],[  70-74]]-Table3410112[[#This Row],[  70-74]]</f>
        <v>1136</v>
      </c>
      <c r="Q14" s="5">
        <f>Table3410111213181422[[#This Row],[  75-79]]-Table3410112[[#This Row],[  75-79]]</f>
        <v>350</v>
      </c>
      <c r="R14" s="5">
        <f>Table3410111213181422[[#This Row],[  80-84]]-Table3410112[[#This Row],[  80-84]]</f>
        <v>334</v>
      </c>
      <c r="S14" s="5">
        <f>Table3410111213181422[[#This Row],[  85-89]]-Table3410112[[#This Row],[  85-89]]</f>
        <v>100</v>
      </c>
      <c r="T14" s="5">
        <f>Table3410111213181422[[#This Row],[  90+]]-Table3410112[[#This Row],[  90+]]</f>
        <v>178</v>
      </c>
    </row>
    <row r="15" spans="1:20" x14ac:dyDescent="0.2">
      <c r="A15" s="9" t="s">
        <v>5</v>
      </c>
      <c r="B15" s="6" t="s">
        <v>0</v>
      </c>
      <c r="C15" s="5">
        <f>Table3410111213181422[[#This Row],[Total]]-Table3410112[[#This Row],[Total]]</f>
        <v>37559</v>
      </c>
      <c r="D15" s="5">
        <f>Table3410111213181422[[#This Row],[  5-11]]-Table3410112[[#This Row],[  5-11]]</f>
        <v>18151</v>
      </c>
      <c r="E15" s="5">
        <f>Table3410111213181422[[#This Row],[  12-17]]-Table3410112[[#This Row],[  12-17]]</f>
        <v>3711</v>
      </c>
      <c r="F15" s="5">
        <f>Table3410111213181422[[#This Row],[  18-24]]-Table3410112[[#This Row],[  18-24]]</f>
        <v>2539</v>
      </c>
      <c r="G15" s="5">
        <f>Table3410111213181422[[#This Row],[  25-29 ]]-Table3410112[[#This Row],[  25-29 ]]</f>
        <v>2736</v>
      </c>
      <c r="H15" s="5">
        <f>Table3410111213181422[[#This Row],[  30-34]]-Table3410112[[#This Row],[  30-34]]</f>
        <v>1941</v>
      </c>
      <c r="I15" s="5">
        <f>Table3410111213181422[[#This Row],[  35-39]]-Table3410112[[#This Row],[  35-39]]</f>
        <v>1221</v>
      </c>
      <c r="J15" s="5">
        <f>Table3410111213181422[[#This Row],[  40-44]]-Table3410112[[#This Row],[  40-44]]</f>
        <v>886</v>
      </c>
      <c r="K15" s="5">
        <f>Table3410111213181422[[#This Row],[  45-49 ]]-Table3410112[[#This Row],[  45-49 ]]</f>
        <v>1423</v>
      </c>
      <c r="L15" s="5">
        <f>Table3410111213181422[[#This Row],[  50-54]]-Table3410112[[#This Row],[  50-54]]</f>
        <v>1168</v>
      </c>
      <c r="M15" s="5">
        <f>Table3410111213181422[[#This Row],[  55-59]]-Table3410112[[#This Row],[  55-59]]</f>
        <v>1417</v>
      </c>
      <c r="N15" s="5">
        <f>Table3410111213181422[[#This Row],[  60-64]]-Table3410112[[#This Row],[  60-64]]</f>
        <v>764</v>
      </c>
      <c r="O15" s="5">
        <f>Table3410111213181422[[#This Row],[  65-69]]-Table3410112[[#This Row],[  65-69]]</f>
        <v>657</v>
      </c>
      <c r="P15" s="5">
        <f>Table3410111213181422[[#This Row],[  70-74]]-Table3410112[[#This Row],[  70-74]]</f>
        <v>559</v>
      </c>
      <c r="Q15" s="5">
        <f>Table3410111213181422[[#This Row],[  75-79]]-Table3410112[[#This Row],[  75-79]]</f>
        <v>195</v>
      </c>
      <c r="R15" s="5">
        <f>Table3410111213181422[[#This Row],[  80-84]]-Table3410112[[#This Row],[  80-84]]</f>
        <v>92</v>
      </c>
      <c r="S15" s="5">
        <f>Table3410111213181422[[#This Row],[  85-89]]-Table3410112[[#This Row],[  85-89]]</f>
        <v>24</v>
      </c>
      <c r="T15" s="5">
        <f>Table3410111213181422[[#This Row],[  90+]]-Table3410112[[#This Row],[  90+]]</f>
        <v>75</v>
      </c>
    </row>
    <row r="16" spans="1:20" x14ac:dyDescent="0.2">
      <c r="A16" s="9" t="s">
        <v>5</v>
      </c>
      <c r="B16" s="6" t="s">
        <v>23</v>
      </c>
      <c r="C16" s="5">
        <f>Table3410111213181422[[#This Row],[Total]]-Table3410112[[#This Row],[Total]]</f>
        <v>35843</v>
      </c>
      <c r="D16" s="5">
        <f>Table3410111213181422[[#This Row],[  5-11]]-Table3410112[[#This Row],[  5-11]]</f>
        <v>16587</v>
      </c>
      <c r="E16" s="5">
        <f>Table3410111213181422[[#This Row],[  12-17]]-Table3410112[[#This Row],[  12-17]]</f>
        <v>3347</v>
      </c>
      <c r="F16" s="5">
        <f>Table3410111213181422[[#This Row],[  18-24]]-Table3410112[[#This Row],[  18-24]]</f>
        <v>2102</v>
      </c>
      <c r="G16" s="5">
        <f>Table3410111213181422[[#This Row],[  25-29 ]]-Table3410112[[#This Row],[  25-29 ]]</f>
        <v>2725</v>
      </c>
      <c r="H16" s="5">
        <f>Table3410111213181422[[#This Row],[  30-34]]-Table3410112[[#This Row],[  30-34]]</f>
        <v>1955</v>
      </c>
      <c r="I16" s="5">
        <f>Table3410111213181422[[#This Row],[  35-39]]-Table3410112[[#This Row],[  35-39]]</f>
        <v>1675</v>
      </c>
      <c r="J16" s="5">
        <f>Table3410111213181422[[#This Row],[  40-44]]-Table3410112[[#This Row],[  40-44]]</f>
        <v>968</v>
      </c>
      <c r="K16" s="5">
        <f>Table3410111213181422[[#This Row],[  45-49 ]]-Table3410112[[#This Row],[  45-49 ]]</f>
        <v>1312</v>
      </c>
      <c r="L16" s="5">
        <f>Table3410111213181422[[#This Row],[  50-54]]-Table3410112[[#This Row],[  50-54]]</f>
        <v>1154</v>
      </c>
      <c r="M16" s="5">
        <f>Table3410111213181422[[#This Row],[  55-59]]-Table3410112[[#This Row],[  55-59]]</f>
        <v>1337</v>
      </c>
      <c r="N16" s="5">
        <f>Table3410111213181422[[#This Row],[  60-64]]-Table3410112[[#This Row],[  60-64]]</f>
        <v>692</v>
      </c>
      <c r="O16" s="5">
        <f>Table3410111213181422[[#This Row],[  65-69]]-Table3410112[[#This Row],[  65-69]]</f>
        <v>836</v>
      </c>
      <c r="P16" s="5">
        <f>Table3410111213181422[[#This Row],[  70-74]]-Table3410112[[#This Row],[  70-74]]</f>
        <v>577</v>
      </c>
      <c r="Q16" s="5">
        <f>Table3410111213181422[[#This Row],[  75-79]]-Table3410112[[#This Row],[  75-79]]</f>
        <v>155</v>
      </c>
      <c r="R16" s="5">
        <f>Table3410111213181422[[#This Row],[  80-84]]-Table3410112[[#This Row],[  80-84]]</f>
        <v>242</v>
      </c>
      <c r="S16" s="5">
        <f>Table3410111213181422[[#This Row],[  85-89]]-Table3410112[[#This Row],[  85-89]]</f>
        <v>76</v>
      </c>
      <c r="T16" s="5">
        <f>Table3410111213181422[[#This Row],[  90+]]-Table3410112[[#This Row],[  90+]]</f>
        <v>103</v>
      </c>
    </row>
    <row r="17" spans="1:20" x14ac:dyDescent="0.2">
      <c r="A17" s="12" t="s">
        <v>6</v>
      </c>
      <c r="B17" s="6" t="s">
        <v>22</v>
      </c>
      <c r="C17" s="5">
        <f>Table3410111213181422[[#This Row],[Total]]-Table3410112[[#This Row],[Total]]</f>
        <v>15343</v>
      </c>
      <c r="D17" s="5">
        <f>Table3410111213181422[[#This Row],[  5-11]]-Table3410112[[#This Row],[  5-11]]</f>
        <v>7489</v>
      </c>
      <c r="E17" s="5">
        <f>Table3410111213181422[[#This Row],[  12-17]]-Table3410112[[#This Row],[  12-17]]</f>
        <v>1749</v>
      </c>
      <c r="F17" s="5">
        <f>Table3410111213181422[[#This Row],[  18-24]]-Table3410112[[#This Row],[  18-24]]</f>
        <v>687</v>
      </c>
      <c r="G17" s="5">
        <f>Table3410111213181422[[#This Row],[  25-29 ]]-Table3410112[[#This Row],[  25-29 ]]</f>
        <v>446</v>
      </c>
      <c r="H17" s="5">
        <f>Table3410111213181422[[#This Row],[  30-34]]-Table3410112[[#This Row],[  30-34]]</f>
        <v>370</v>
      </c>
      <c r="I17" s="5">
        <f>Table3410111213181422[[#This Row],[  35-39]]-Table3410112[[#This Row],[  35-39]]</f>
        <v>351</v>
      </c>
      <c r="J17" s="5">
        <f>Table3410111213181422[[#This Row],[  40-44]]-Table3410112[[#This Row],[  40-44]]</f>
        <v>380</v>
      </c>
      <c r="K17" s="5">
        <f>Table3410111213181422[[#This Row],[  45-49 ]]-Table3410112[[#This Row],[  45-49 ]]</f>
        <v>871</v>
      </c>
      <c r="L17" s="5">
        <f>Table3410111213181422[[#This Row],[  50-54]]-Table3410112[[#This Row],[  50-54]]</f>
        <v>633</v>
      </c>
      <c r="M17" s="5">
        <f>Table3410111213181422[[#This Row],[  55-59]]-Table3410112[[#This Row],[  55-59]]</f>
        <v>871</v>
      </c>
      <c r="N17" s="5">
        <f>Table3410111213181422[[#This Row],[  60-64]]-Table3410112[[#This Row],[  60-64]]</f>
        <v>461</v>
      </c>
      <c r="O17" s="5">
        <f>Table3410111213181422[[#This Row],[  65-69]]-Table3410112[[#This Row],[  65-69]]</f>
        <v>513</v>
      </c>
      <c r="P17" s="5">
        <f>Table3410111213181422[[#This Row],[  70-74]]-Table3410112[[#This Row],[  70-74]]</f>
        <v>464</v>
      </c>
      <c r="Q17" s="5">
        <f>Table3410111213181422[[#This Row],[  75-79]]-Table3410112[[#This Row],[  75-79]]</f>
        <v>-26</v>
      </c>
      <c r="R17" s="5">
        <f>Table3410111213181422[[#This Row],[  80-84]]-Table3410112[[#This Row],[  80-84]]</f>
        <v>-30</v>
      </c>
      <c r="S17" s="5">
        <f>Table3410111213181422[[#This Row],[  85-89]]-Table3410112[[#This Row],[  85-89]]</f>
        <v>60</v>
      </c>
      <c r="T17" s="5">
        <f>Table3410111213181422[[#This Row],[  90+]]-Table3410112[[#This Row],[  90+]]</f>
        <v>54</v>
      </c>
    </row>
    <row r="18" spans="1:20" x14ac:dyDescent="0.2">
      <c r="A18" s="9" t="s">
        <v>6</v>
      </c>
      <c r="B18" s="6" t="s">
        <v>0</v>
      </c>
      <c r="C18" s="5">
        <f>Table3410111213181422[[#This Row],[Total]]-Table3410112[[#This Row],[Total]]</f>
        <v>6534</v>
      </c>
      <c r="D18" s="5">
        <f>Table3410111213181422[[#This Row],[  5-11]]-Table3410112[[#This Row],[  5-11]]</f>
        <v>3729</v>
      </c>
      <c r="E18" s="5">
        <f>Table3410111213181422[[#This Row],[  12-17]]-Table3410112[[#This Row],[  12-17]]</f>
        <v>959</v>
      </c>
      <c r="F18" s="5">
        <f>Table3410111213181422[[#This Row],[  18-24]]-Table3410112[[#This Row],[  18-24]]</f>
        <v>187</v>
      </c>
      <c r="G18" s="5">
        <f>Table3410111213181422[[#This Row],[  25-29 ]]-Table3410112[[#This Row],[  25-29 ]]</f>
        <v>-73</v>
      </c>
      <c r="H18" s="5">
        <f>Table3410111213181422[[#This Row],[  30-34]]-Table3410112[[#This Row],[  30-34]]</f>
        <v>-119</v>
      </c>
      <c r="I18" s="5">
        <f>Table3410111213181422[[#This Row],[  35-39]]-Table3410112[[#This Row],[  35-39]]</f>
        <v>21</v>
      </c>
      <c r="J18" s="5">
        <f>Table3410111213181422[[#This Row],[  40-44]]-Table3410112[[#This Row],[  40-44]]</f>
        <v>46</v>
      </c>
      <c r="K18" s="5">
        <f>Table3410111213181422[[#This Row],[  45-49 ]]-Table3410112[[#This Row],[  45-49 ]]</f>
        <v>385</v>
      </c>
      <c r="L18" s="5">
        <f>Table3410111213181422[[#This Row],[  50-54]]-Table3410112[[#This Row],[  50-54]]</f>
        <v>305</v>
      </c>
      <c r="M18" s="5">
        <f>Table3410111213181422[[#This Row],[  55-59]]-Table3410112[[#This Row],[  55-59]]</f>
        <v>408</v>
      </c>
      <c r="N18" s="5">
        <f>Table3410111213181422[[#This Row],[  60-64]]-Table3410112[[#This Row],[  60-64]]</f>
        <v>202</v>
      </c>
      <c r="O18" s="5">
        <f>Table3410111213181422[[#This Row],[  65-69]]-Table3410112[[#This Row],[  65-69]]</f>
        <v>236</v>
      </c>
      <c r="P18" s="5">
        <f>Table3410111213181422[[#This Row],[  70-74]]-Table3410112[[#This Row],[  70-74]]</f>
        <v>241</v>
      </c>
      <c r="Q18" s="5">
        <f>Table3410111213181422[[#This Row],[  75-79]]-Table3410112[[#This Row],[  75-79]]</f>
        <v>-28</v>
      </c>
      <c r="R18" s="5">
        <f>Table3410111213181422[[#This Row],[  80-84]]-Table3410112[[#This Row],[  80-84]]</f>
        <v>-5</v>
      </c>
      <c r="S18" s="5">
        <f>Table3410111213181422[[#This Row],[  85-89]]-Table3410112[[#This Row],[  85-89]]</f>
        <v>20</v>
      </c>
      <c r="T18" s="5">
        <f>Table3410111213181422[[#This Row],[  90+]]-Table3410112[[#This Row],[  90+]]</f>
        <v>20</v>
      </c>
    </row>
    <row r="19" spans="1:20" x14ac:dyDescent="0.2">
      <c r="A19" s="9" t="s">
        <v>6</v>
      </c>
      <c r="B19" s="6" t="s">
        <v>23</v>
      </c>
      <c r="C19" s="5">
        <f>Table3410111213181422[[#This Row],[Total]]-Table3410112[[#This Row],[Total]]</f>
        <v>8809</v>
      </c>
      <c r="D19" s="5">
        <f>Table3410111213181422[[#This Row],[  5-11]]-Table3410112[[#This Row],[  5-11]]</f>
        <v>3760</v>
      </c>
      <c r="E19" s="5">
        <f>Table3410111213181422[[#This Row],[  12-17]]-Table3410112[[#This Row],[  12-17]]</f>
        <v>790</v>
      </c>
      <c r="F19" s="5">
        <f>Table3410111213181422[[#This Row],[  18-24]]-Table3410112[[#This Row],[  18-24]]</f>
        <v>500</v>
      </c>
      <c r="G19" s="5">
        <f>Table3410111213181422[[#This Row],[  25-29 ]]-Table3410112[[#This Row],[  25-29 ]]</f>
        <v>519</v>
      </c>
      <c r="H19" s="5">
        <f>Table3410111213181422[[#This Row],[  30-34]]-Table3410112[[#This Row],[  30-34]]</f>
        <v>489</v>
      </c>
      <c r="I19" s="5">
        <f>Table3410111213181422[[#This Row],[  35-39]]-Table3410112[[#This Row],[  35-39]]</f>
        <v>330</v>
      </c>
      <c r="J19" s="5">
        <f>Table3410111213181422[[#This Row],[  40-44]]-Table3410112[[#This Row],[  40-44]]</f>
        <v>334</v>
      </c>
      <c r="K19" s="5">
        <f>Table3410111213181422[[#This Row],[  45-49 ]]-Table3410112[[#This Row],[  45-49 ]]</f>
        <v>486</v>
      </c>
      <c r="L19" s="5">
        <f>Table3410111213181422[[#This Row],[  50-54]]-Table3410112[[#This Row],[  50-54]]</f>
        <v>328</v>
      </c>
      <c r="M19" s="5">
        <f>Table3410111213181422[[#This Row],[  55-59]]-Table3410112[[#This Row],[  55-59]]</f>
        <v>463</v>
      </c>
      <c r="N19" s="5">
        <f>Table3410111213181422[[#This Row],[  60-64]]-Table3410112[[#This Row],[  60-64]]</f>
        <v>259</v>
      </c>
      <c r="O19" s="5">
        <f>Table3410111213181422[[#This Row],[  65-69]]-Table3410112[[#This Row],[  65-69]]</f>
        <v>277</v>
      </c>
      <c r="P19" s="5">
        <f>Table3410111213181422[[#This Row],[  70-74]]-Table3410112[[#This Row],[  70-74]]</f>
        <v>223</v>
      </c>
      <c r="Q19" s="5">
        <f>Table3410111213181422[[#This Row],[  75-79]]-Table3410112[[#This Row],[  75-79]]</f>
        <v>2</v>
      </c>
      <c r="R19" s="5">
        <f>Table3410111213181422[[#This Row],[  80-84]]-Table3410112[[#This Row],[  80-84]]</f>
        <v>-25</v>
      </c>
      <c r="S19" s="5">
        <f>Table3410111213181422[[#This Row],[  85-89]]-Table3410112[[#This Row],[  85-89]]</f>
        <v>40</v>
      </c>
      <c r="T19" s="5">
        <f>Table3410111213181422[[#This Row],[  90+]]-Table3410112[[#This Row],[  90+]]</f>
        <v>34</v>
      </c>
    </row>
    <row r="20" spans="1:20" x14ac:dyDescent="0.2">
      <c r="A20" s="9" t="s">
        <v>7</v>
      </c>
      <c r="B20" s="6" t="s">
        <v>22</v>
      </c>
      <c r="C20" s="5">
        <f>Table3410111213181422[[#This Row],[Total]]-Table3410112[[#This Row],[Total]]</f>
        <v>14058</v>
      </c>
      <c r="D20" s="5">
        <f>Table3410111213181422[[#This Row],[  5-11]]-Table3410112[[#This Row],[  5-11]]</f>
        <v>6428</v>
      </c>
      <c r="E20" s="5">
        <f>Table3410111213181422[[#This Row],[  12-17]]-Table3410112[[#This Row],[  12-17]]</f>
        <v>1144</v>
      </c>
      <c r="F20" s="5">
        <f>Table3410111213181422[[#This Row],[  18-24]]-Table3410112[[#This Row],[  18-24]]</f>
        <v>897</v>
      </c>
      <c r="G20" s="5">
        <f>Table3410111213181422[[#This Row],[  25-29 ]]-Table3410112[[#This Row],[  25-29 ]]</f>
        <v>1030</v>
      </c>
      <c r="H20" s="5">
        <f>Table3410111213181422[[#This Row],[  30-34]]-Table3410112[[#This Row],[  30-34]]</f>
        <v>761</v>
      </c>
      <c r="I20" s="5">
        <f>Table3410111213181422[[#This Row],[  35-39]]-Table3410112[[#This Row],[  35-39]]</f>
        <v>585</v>
      </c>
      <c r="J20" s="5">
        <f>Table3410111213181422[[#This Row],[  40-44]]-Table3410112[[#This Row],[  40-44]]</f>
        <v>439</v>
      </c>
      <c r="K20" s="5">
        <f>Table3410111213181422[[#This Row],[  45-49 ]]-Table3410112[[#This Row],[  45-49 ]]</f>
        <v>670</v>
      </c>
      <c r="L20" s="5">
        <f>Table3410111213181422[[#This Row],[  50-54]]-Table3410112[[#This Row],[  50-54]]</f>
        <v>595</v>
      </c>
      <c r="M20" s="5">
        <f>Table3410111213181422[[#This Row],[  55-59]]-Table3410112[[#This Row],[  55-59]]</f>
        <v>527</v>
      </c>
      <c r="N20" s="5">
        <f>Table3410111213181422[[#This Row],[  60-64]]-Table3410112[[#This Row],[  60-64]]</f>
        <v>348</v>
      </c>
      <c r="O20" s="5">
        <f>Table3410111213181422[[#This Row],[  65-69]]-Table3410112[[#This Row],[  65-69]]</f>
        <v>197</v>
      </c>
      <c r="P20" s="5">
        <f>Table3410111213181422[[#This Row],[  70-74]]-Table3410112[[#This Row],[  70-74]]</f>
        <v>333</v>
      </c>
      <c r="Q20" s="5">
        <f>Table3410111213181422[[#This Row],[  75-79]]-Table3410112[[#This Row],[  75-79]]</f>
        <v>-30</v>
      </c>
      <c r="R20" s="5">
        <f>Table3410111213181422[[#This Row],[  80-84]]-Table3410112[[#This Row],[  80-84]]</f>
        <v>57</v>
      </c>
      <c r="S20" s="5">
        <f>Table3410111213181422[[#This Row],[  85-89]]-Table3410112[[#This Row],[  85-89]]</f>
        <v>39</v>
      </c>
      <c r="T20" s="5">
        <f>Table3410111213181422[[#This Row],[  90+]]-Table3410112[[#This Row],[  90+]]</f>
        <v>38</v>
      </c>
    </row>
    <row r="21" spans="1:20" x14ac:dyDescent="0.2">
      <c r="A21" s="9" t="s">
        <v>7</v>
      </c>
      <c r="B21" s="6" t="s">
        <v>0</v>
      </c>
      <c r="C21" s="5">
        <f>Table3410111213181422[[#This Row],[Total]]-Table3410112[[#This Row],[Total]]</f>
        <v>6900</v>
      </c>
      <c r="D21" s="5">
        <f>Table3410111213181422[[#This Row],[  5-11]]-Table3410112[[#This Row],[  5-11]]</f>
        <v>3272</v>
      </c>
      <c r="E21" s="5">
        <f>Table3410111213181422[[#This Row],[  12-17]]-Table3410112[[#This Row],[  12-17]]</f>
        <v>606</v>
      </c>
      <c r="F21" s="5">
        <f>Table3410111213181422[[#This Row],[  18-24]]-Table3410112[[#This Row],[  18-24]]</f>
        <v>447</v>
      </c>
      <c r="G21" s="5">
        <f>Table3410111213181422[[#This Row],[  25-29 ]]-Table3410112[[#This Row],[  25-29 ]]</f>
        <v>478</v>
      </c>
      <c r="H21" s="5">
        <f>Table3410111213181422[[#This Row],[  30-34]]-Table3410112[[#This Row],[  30-34]]</f>
        <v>338</v>
      </c>
      <c r="I21" s="5">
        <f>Table3410111213181422[[#This Row],[  35-39]]-Table3410112[[#This Row],[  35-39]]</f>
        <v>310</v>
      </c>
      <c r="J21" s="5">
        <f>Table3410111213181422[[#This Row],[  40-44]]-Table3410112[[#This Row],[  40-44]]</f>
        <v>170</v>
      </c>
      <c r="K21" s="5">
        <f>Table3410111213181422[[#This Row],[  45-49 ]]-Table3410112[[#This Row],[  45-49 ]]</f>
        <v>309</v>
      </c>
      <c r="L21" s="5">
        <f>Table3410111213181422[[#This Row],[  50-54]]-Table3410112[[#This Row],[  50-54]]</f>
        <v>300</v>
      </c>
      <c r="M21" s="5">
        <f>Table3410111213181422[[#This Row],[  55-59]]-Table3410112[[#This Row],[  55-59]]</f>
        <v>231</v>
      </c>
      <c r="N21" s="5">
        <f>Table3410111213181422[[#This Row],[  60-64]]-Table3410112[[#This Row],[  60-64]]</f>
        <v>170</v>
      </c>
      <c r="O21" s="5">
        <f>Table3410111213181422[[#This Row],[  65-69]]-Table3410112[[#This Row],[  65-69]]</f>
        <v>132</v>
      </c>
      <c r="P21" s="5">
        <f>Table3410111213181422[[#This Row],[  70-74]]-Table3410112[[#This Row],[  70-74]]</f>
        <v>151</v>
      </c>
      <c r="Q21" s="5">
        <f>Table3410111213181422[[#This Row],[  75-79]]-Table3410112[[#This Row],[  75-79]]</f>
        <v>-69</v>
      </c>
      <c r="R21" s="5">
        <f>Table3410111213181422[[#This Row],[  80-84]]-Table3410112[[#This Row],[  80-84]]</f>
        <v>30</v>
      </c>
      <c r="S21" s="5">
        <f>Table3410111213181422[[#This Row],[  85-89]]-Table3410112[[#This Row],[  85-89]]</f>
        <v>26</v>
      </c>
      <c r="T21" s="5">
        <f>Table3410111213181422[[#This Row],[  90+]]-Table3410112[[#This Row],[  90+]]</f>
        <v>-1</v>
      </c>
    </row>
    <row r="22" spans="1:20" x14ac:dyDescent="0.2">
      <c r="A22" s="9" t="s">
        <v>7</v>
      </c>
      <c r="B22" s="6" t="s">
        <v>23</v>
      </c>
      <c r="C22" s="5">
        <f>Table3410111213181422[[#This Row],[Total]]-Table3410112[[#This Row],[Total]]</f>
        <v>7158</v>
      </c>
      <c r="D22" s="5">
        <f>Table3410111213181422[[#This Row],[  5-11]]-Table3410112[[#This Row],[  5-11]]</f>
        <v>3156</v>
      </c>
      <c r="E22" s="5">
        <f>Table3410111213181422[[#This Row],[  12-17]]-Table3410112[[#This Row],[  12-17]]</f>
        <v>538</v>
      </c>
      <c r="F22" s="5">
        <f>Table3410111213181422[[#This Row],[  18-24]]-Table3410112[[#This Row],[  18-24]]</f>
        <v>450</v>
      </c>
      <c r="G22" s="5">
        <f>Table3410111213181422[[#This Row],[  25-29 ]]-Table3410112[[#This Row],[  25-29 ]]</f>
        <v>552</v>
      </c>
      <c r="H22" s="5">
        <f>Table3410111213181422[[#This Row],[  30-34]]-Table3410112[[#This Row],[  30-34]]</f>
        <v>423</v>
      </c>
      <c r="I22" s="5">
        <f>Table3410111213181422[[#This Row],[  35-39]]-Table3410112[[#This Row],[  35-39]]</f>
        <v>275</v>
      </c>
      <c r="J22" s="5">
        <f>Table3410111213181422[[#This Row],[  40-44]]-Table3410112[[#This Row],[  40-44]]</f>
        <v>269</v>
      </c>
      <c r="K22" s="5">
        <f>Table3410111213181422[[#This Row],[  45-49 ]]-Table3410112[[#This Row],[  45-49 ]]</f>
        <v>361</v>
      </c>
      <c r="L22" s="5">
        <f>Table3410111213181422[[#This Row],[  50-54]]-Table3410112[[#This Row],[  50-54]]</f>
        <v>295</v>
      </c>
      <c r="M22" s="5">
        <f>Table3410111213181422[[#This Row],[  55-59]]-Table3410112[[#This Row],[  55-59]]</f>
        <v>296</v>
      </c>
      <c r="N22" s="5">
        <f>Table3410111213181422[[#This Row],[  60-64]]-Table3410112[[#This Row],[  60-64]]</f>
        <v>178</v>
      </c>
      <c r="O22" s="5">
        <f>Table3410111213181422[[#This Row],[  65-69]]-Table3410112[[#This Row],[  65-69]]</f>
        <v>65</v>
      </c>
      <c r="P22" s="5">
        <f>Table3410111213181422[[#This Row],[  70-74]]-Table3410112[[#This Row],[  70-74]]</f>
        <v>182</v>
      </c>
      <c r="Q22" s="5">
        <f>Table3410111213181422[[#This Row],[  75-79]]-Table3410112[[#This Row],[  75-79]]</f>
        <v>39</v>
      </c>
      <c r="R22" s="5">
        <f>Table3410111213181422[[#This Row],[  80-84]]-Table3410112[[#This Row],[  80-84]]</f>
        <v>27</v>
      </c>
      <c r="S22" s="5">
        <f>Table3410111213181422[[#This Row],[  85-89]]-Table3410112[[#This Row],[  85-89]]</f>
        <v>13</v>
      </c>
      <c r="T22" s="5">
        <f>Table3410111213181422[[#This Row],[  90+]]-Table3410112[[#This Row],[  90+]]</f>
        <v>39</v>
      </c>
    </row>
    <row r="23" spans="1:20" x14ac:dyDescent="0.2">
      <c r="A23" s="9" t="s">
        <v>8</v>
      </c>
      <c r="B23" s="6" t="s">
        <v>22</v>
      </c>
      <c r="C23" s="5">
        <f>Table3410111213181422[[#This Row],[Total]]-Table3410112[[#This Row],[Total]]</f>
        <v>11964</v>
      </c>
      <c r="D23" s="5">
        <f>Table3410111213181422[[#This Row],[  5-11]]-Table3410112[[#This Row],[  5-11]]</f>
        <v>4467</v>
      </c>
      <c r="E23" s="5">
        <f>Table3410111213181422[[#This Row],[  12-17]]-Table3410112[[#This Row],[  12-17]]</f>
        <v>1090</v>
      </c>
      <c r="F23" s="5">
        <f>Table3410111213181422[[#This Row],[  18-24]]-Table3410112[[#This Row],[  18-24]]</f>
        <v>799</v>
      </c>
      <c r="G23" s="5">
        <f>Table3410111213181422[[#This Row],[  25-29 ]]-Table3410112[[#This Row],[  25-29 ]]</f>
        <v>815</v>
      </c>
      <c r="H23" s="5">
        <f>Table3410111213181422[[#This Row],[  30-34]]-Table3410112[[#This Row],[  30-34]]</f>
        <v>811</v>
      </c>
      <c r="I23" s="5">
        <f>Table3410111213181422[[#This Row],[  35-39]]-Table3410112[[#This Row],[  35-39]]</f>
        <v>558</v>
      </c>
      <c r="J23" s="5">
        <f>Table3410111213181422[[#This Row],[  40-44]]-Table3410112[[#This Row],[  40-44]]</f>
        <v>493</v>
      </c>
      <c r="K23" s="5">
        <f>Table3410111213181422[[#This Row],[  45-49 ]]-Table3410112[[#This Row],[  45-49 ]]</f>
        <v>699</v>
      </c>
      <c r="L23" s="5">
        <f>Table3410111213181422[[#This Row],[  50-54]]-Table3410112[[#This Row],[  50-54]]</f>
        <v>478</v>
      </c>
      <c r="M23" s="5">
        <f>Table3410111213181422[[#This Row],[  55-59]]-Table3410112[[#This Row],[  55-59]]</f>
        <v>614</v>
      </c>
      <c r="N23" s="5">
        <f>Table3410111213181422[[#This Row],[  60-64]]-Table3410112[[#This Row],[  60-64]]</f>
        <v>391</v>
      </c>
      <c r="O23" s="5">
        <f>Table3410111213181422[[#This Row],[  65-69]]-Table3410112[[#This Row],[  65-69]]</f>
        <v>274</v>
      </c>
      <c r="P23" s="5">
        <f>Table3410111213181422[[#This Row],[  70-74]]-Table3410112[[#This Row],[  70-74]]</f>
        <v>385</v>
      </c>
      <c r="Q23" s="5">
        <f>Table3410111213181422[[#This Row],[  75-79]]-Table3410112[[#This Row],[  75-79]]</f>
        <v>-16</v>
      </c>
      <c r="R23" s="5">
        <f>Table3410111213181422[[#This Row],[  80-84]]-Table3410112[[#This Row],[  80-84]]</f>
        <v>29</v>
      </c>
      <c r="S23" s="5">
        <f>Table3410111213181422[[#This Row],[  85-89]]-Table3410112[[#This Row],[  85-89]]</f>
        <v>42</v>
      </c>
      <c r="T23" s="5">
        <f>Table3410111213181422[[#This Row],[  90+]]-Table3410112[[#This Row],[  90+]]</f>
        <v>35</v>
      </c>
    </row>
    <row r="24" spans="1:20" x14ac:dyDescent="0.2">
      <c r="A24" s="9" t="s">
        <v>8</v>
      </c>
      <c r="B24" s="6" t="s">
        <v>0</v>
      </c>
      <c r="C24" s="5">
        <f>Table3410111213181422[[#This Row],[Total]]-Table3410112[[#This Row],[Total]]</f>
        <v>6013</v>
      </c>
      <c r="D24" s="5">
        <f>Table3410111213181422[[#This Row],[  5-11]]-Table3410112[[#This Row],[  5-11]]</f>
        <v>2299</v>
      </c>
      <c r="E24" s="5">
        <f>Table3410111213181422[[#This Row],[  12-17]]-Table3410112[[#This Row],[  12-17]]</f>
        <v>575</v>
      </c>
      <c r="F24" s="5">
        <f>Table3410111213181422[[#This Row],[  18-24]]-Table3410112[[#This Row],[  18-24]]</f>
        <v>426</v>
      </c>
      <c r="G24" s="5">
        <f>Table3410111213181422[[#This Row],[  25-29 ]]-Table3410112[[#This Row],[  25-29 ]]</f>
        <v>392</v>
      </c>
      <c r="H24" s="5">
        <f>Table3410111213181422[[#This Row],[  30-34]]-Table3410112[[#This Row],[  30-34]]</f>
        <v>339</v>
      </c>
      <c r="I24" s="5">
        <f>Table3410111213181422[[#This Row],[  35-39]]-Table3410112[[#This Row],[  35-39]]</f>
        <v>306</v>
      </c>
      <c r="J24" s="5">
        <f>Table3410111213181422[[#This Row],[  40-44]]-Table3410112[[#This Row],[  40-44]]</f>
        <v>211</v>
      </c>
      <c r="K24" s="5">
        <f>Table3410111213181422[[#This Row],[  45-49 ]]-Table3410112[[#This Row],[  45-49 ]]</f>
        <v>366</v>
      </c>
      <c r="L24" s="5">
        <f>Table3410111213181422[[#This Row],[  50-54]]-Table3410112[[#This Row],[  50-54]]</f>
        <v>225</v>
      </c>
      <c r="M24" s="5">
        <f>Table3410111213181422[[#This Row],[  55-59]]-Table3410112[[#This Row],[  55-59]]</f>
        <v>339</v>
      </c>
      <c r="N24" s="5">
        <f>Table3410111213181422[[#This Row],[  60-64]]-Table3410112[[#This Row],[  60-64]]</f>
        <v>184</v>
      </c>
      <c r="O24" s="5">
        <f>Table3410111213181422[[#This Row],[  65-69]]-Table3410112[[#This Row],[  65-69]]</f>
        <v>115</v>
      </c>
      <c r="P24" s="5">
        <f>Table3410111213181422[[#This Row],[  70-74]]-Table3410112[[#This Row],[  70-74]]</f>
        <v>181</v>
      </c>
      <c r="Q24" s="5">
        <f>Table3410111213181422[[#This Row],[  75-79]]-Table3410112[[#This Row],[  75-79]]</f>
        <v>4</v>
      </c>
      <c r="R24" s="5">
        <f>Table3410111213181422[[#This Row],[  80-84]]-Table3410112[[#This Row],[  80-84]]</f>
        <v>14</v>
      </c>
      <c r="S24" s="5">
        <f>Table3410111213181422[[#This Row],[  85-89]]-Table3410112[[#This Row],[  85-89]]</f>
        <v>24</v>
      </c>
      <c r="T24" s="5">
        <f>Table3410111213181422[[#This Row],[  90+]]-Table3410112[[#This Row],[  90+]]</f>
        <v>13</v>
      </c>
    </row>
    <row r="25" spans="1:20" x14ac:dyDescent="0.2">
      <c r="A25" s="9" t="s">
        <v>8</v>
      </c>
      <c r="B25" s="6" t="s">
        <v>23</v>
      </c>
      <c r="C25" s="5">
        <f>Table3410111213181422[[#This Row],[Total]]-Table3410112[[#This Row],[Total]]</f>
        <v>5951</v>
      </c>
      <c r="D25" s="5">
        <f>Table3410111213181422[[#This Row],[  5-11]]-Table3410112[[#This Row],[  5-11]]</f>
        <v>2168</v>
      </c>
      <c r="E25" s="5">
        <f>Table3410111213181422[[#This Row],[  12-17]]-Table3410112[[#This Row],[  12-17]]</f>
        <v>515</v>
      </c>
      <c r="F25" s="5">
        <f>Table3410111213181422[[#This Row],[  18-24]]-Table3410112[[#This Row],[  18-24]]</f>
        <v>373</v>
      </c>
      <c r="G25" s="5">
        <f>Table3410111213181422[[#This Row],[  25-29 ]]-Table3410112[[#This Row],[  25-29 ]]</f>
        <v>423</v>
      </c>
      <c r="H25" s="5">
        <f>Table3410111213181422[[#This Row],[  30-34]]-Table3410112[[#This Row],[  30-34]]</f>
        <v>472</v>
      </c>
      <c r="I25" s="5">
        <f>Table3410111213181422[[#This Row],[  35-39]]-Table3410112[[#This Row],[  35-39]]</f>
        <v>252</v>
      </c>
      <c r="J25" s="5">
        <f>Table3410111213181422[[#This Row],[  40-44]]-Table3410112[[#This Row],[  40-44]]</f>
        <v>282</v>
      </c>
      <c r="K25" s="5">
        <f>Table3410111213181422[[#This Row],[  45-49 ]]-Table3410112[[#This Row],[  45-49 ]]</f>
        <v>333</v>
      </c>
      <c r="L25" s="5">
        <f>Table3410111213181422[[#This Row],[  50-54]]-Table3410112[[#This Row],[  50-54]]</f>
        <v>253</v>
      </c>
      <c r="M25" s="5">
        <f>Table3410111213181422[[#This Row],[  55-59]]-Table3410112[[#This Row],[  55-59]]</f>
        <v>275</v>
      </c>
      <c r="N25" s="5">
        <f>Table3410111213181422[[#This Row],[  60-64]]-Table3410112[[#This Row],[  60-64]]</f>
        <v>207</v>
      </c>
      <c r="O25" s="5">
        <f>Table3410111213181422[[#This Row],[  65-69]]-Table3410112[[#This Row],[  65-69]]</f>
        <v>159</v>
      </c>
      <c r="P25" s="5">
        <f>Table3410111213181422[[#This Row],[  70-74]]-Table3410112[[#This Row],[  70-74]]</f>
        <v>204</v>
      </c>
      <c r="Q25" s="5">
        <f>Table3410111213181422[[#This Row],[  75-79]]-Table3410112[[#This Row],[  75-79]]</f>
        <v>-20</v>
      </c>
      <c r="R25" s="5">
        <f>Table3410111213181422[[#This Row],[  80-84]]-Table3410112[[#This Row],[  80-84]]</f>
        <v>15</v>
      </c>
      <c r="S25" s="5">
        <f>Table3410111213181422[[#This Row],[  85-89]]-Table3410112[[#This Row],[  85-89]]</f>
        <v>18</v>
      </c>
      <c r="T25" s="5">
        <f>Table3410111213181422[[#This Row],[  90+]]-Table3410112[[#This Row],[  90+]]</f>
        <v>22</v>
      </c>
    </row>
    <row r="26" spans="1:20" x14ac:dyDescent="0.2">
      <c r="A26" s="9" t="s">
        <v>9</v>
      </c>
      <c r="B26" s="6" t="s">
        <v>22</v>
      </c>
      <c r="C26" s="5">
        <f>Table3410111213181422[[#This Row],[Total]]-Table3410112[[#This Row],[Total]]</f>
        <v>19844</v>
      </c>
      <c r="D26" s="5">
        <f>Table3410111213181422[[#This Row],[  5-11]]-Table3410112[[#This Row],[  5-11]]</f>
        <v>8343</v>
      </c>
      <c r="E26" s="5">
        <f>Table3410111213181422[[#This Row],[  12-17]]-Table3410112[[#This Row],[  12-17]]</f>
        <v>1857</v>
      </c>
      <c r="F26" s="5">
        <f>Table3410111213181422[[#This Row],[  18-24]]-Table3410112[[#This Row],[  18-24]]</f>
        <v>1268</v>
      </c>
      <c r="G26" s="5">
        <f>Table3410111213181422[[#This Row],[  25-29 ]]-Table3410112[[#This Row],[  25-29 ]]</f>
        <v>1299</v>
      </c>
      <c r="H26" s="5">
        <f>Table3410111213181422[[#This Row],[  30-34]]-Table3410112[[#This Row],[  30-34]]</f>
        <v>1067</v>
      </c>
      <c r="I26" s="5">
        <f>Table3410111213181422[[#This Row],[  35-39]]-Table3410112[[#This Row],[  35-39]]</f>
        <v>787</v>
      </c>
      <c r="J26" s="5">
        <f>Table3410111213181422[[#This Row],[  40-44]]-Table3410112[[#This Row],[  40-44]]</f>
        <v>723</v>
      </c>
      <c r="K26" s="5">
        <f>Table3410111213181422[[#This Row],[  45-49 ]]-Table3410112[[#This Row],[  45-49 ]]</f>
        <v>1034</v>
      </c>
      <c r="L26" s="5">
        <f>Table3410111213181422[[#This Row],[  50-54]]-Table3410112[[#This Row],[  50-54]]</f>
        <v>853</v>
      </c>
      <c r="M26" s="5">
        <f>Table3410111213181422[[#This Row],[  55-59]]-Table3410112[[#This Row],[  55-59]]</f>
        <v>1053</v>
      </c>
      <c r="N26" s="5">
        <f>Table3410111213181422[[#This Row],[  60-64]]-Table3410112[[#This Row],[  60-64]]</f>
        <v>519</v>
      </c>
      <c r="O26" s="5">
        <f>Table3410111213181422[[#This Row],[  65-69]]-Table3410112[[#This Row],[  65-69]]</f>
        <v>334</v>
      </c>
      <c r="P26" s="5">
        <f>Table3410111213181422[[#This Row],[  70-74]]-Table3410112[[#This Row],[  70-74]]</f>
        <v>569</v>
      </c>
      <c r="Q26" s="5">
        <f>Table3410111213181422[[#This Row],[  75-79]]-Table3410112[[#This Row],[  75-79]]</f>
        <v>-31</v>
      </c>
      <c r="R26" s="5">
        <f>Table3410111213181422[[#This Row],[  80-84]]-Table3410112[[#This Row],[  80-84]]</f>
        <v>39</v>
      </c>
      <c r="S26" s="5">
        <f>Table3410111213181422[[#This Row],[  85-89]]-Table3410112[[#This Row],[  85-89]]</f>
        <v>73</v>
      </c>
      <c r="T26" s="5">
        <f>Table3410111213181422[[#This Row],[  90+]]-Table3410112[[#This Row],[  90+]]</f>
        <v>57</v>
      </c>
    </row>
    <row r="27" spans="1:20" x14ac:dyDescent="0.2">
      <c r="A27" s="9" t="s">
        <v>9</v>
      </c>
      <c r="B27" s="6" t="s">
        <v>0</v>
      </c>
      <c r="C27" s="5">
        <f>Table3410111213181422[[#This Row],[Total]]-Table3410112[[#This Row],[Total]]</f>
        <v>9973</v>
      </c>
      <c r="D27" s="5">
        <f>Table3410111213181422[[#This Row],[  5-11]]-Table3410112[[#This Row],[  5-11]]</f>
        <v>4285</v>
      </c>
      <c r="E27" s="5">
        <f>Table3410111213181422[[#This Row],[  12-17]]-Table3410112[[#This Row],[  12-17]]</f>
        <v>1068</v>
      </c>
      <c r="F27" s="5">
        <f>Table3410111213181422[[#This Row],[  18-24]]-Table3410112[[#This Row],[  18-24]]</f>
        <v>626</v>
      </c>
      <c r="G27" s="5">
        <f>Table3410111213181422[[#This Row],[  25-29 ]]-Table3410112[[#This Row],[  25-29 ]]</f>
        <v>621</v>
      </c>
      <c r="H27" s="5">
        <f>Table3410111213181422[[#This Row],[  30-34]]-Table3410112[[#This Row],[  30-34]]</f>
        <v>500</v>
      </c>
      <c r="I27" s="5">
        <f>Table3410111213181422[[#This Row],[  35-39]]-Table3410112[[#This Row],[  35-39]]</f>
        <v>370</v>
      </c>
      <c r="J27" s="5">
        <f>Table3410111213181422[[#This Row],[  40-44]]-Table3410112[[#This Row],[  40-44]]</f>
        <v>345</v>
      </c>
      <c r="K27" s="5">
        <f>Table3410111213181422[[#This Row],[  45-49 ]]-Table3410112[[#This Row],[  45-49 ]]</f>
        <v>527</v>
      </c>
      <c r="L27" s="5">
        <f>Table3410111213181422[[#This Row],[  50-54]]-Table3410112[[#This Row],[  50-54]]</f>
        <v>382</v>
      </c>
      <c r="M27" s="5">
        <f>Table3410111213181422[[#This Row],[  55-59]]-Table3410112[[#This Row],[  55-59]]</f>
        <v>519</v>
      </c>
      <c r="N27" s="5">
        <f>Table3410111213181422[[#This Row],[  60-64]]-Table3410112[[#This Row],[  60-64]]</f>
        <v>281</v>
      </c>
      <c r="O27" s="5">
        <f>Table3410111213181422[[#This Row],[  65-69]]-Table3410112[[#This Row],[  65-69]]</f>
        <v>150</v>
      </c>
      <c r="P27" s="5">
        <f>Table3410111213181422[[#This Row],[  70-74]]-Table3410112[[#This Row],[  70-74]]</f>
        <v>299</v>
      </c>
      <c r="Q27" s="5">
        <f>Table3410111213181422[[#This Row],[  75-79]]-Table3410112[[#This Row],[  75-79]]</f>
        <v>-25</v>
      </c>
      <c r="R27" s="5">
        <f>Table3410111213181422[[#This Row],[  80-84]]-Table3410112[[#This Row],[  80-84]]</f>
        <v>-4</v>
      </c>
      <c r="S27" s="5">
        <f>Table3410111213181422[[#This Row],[  85-89]]-Table3410112[[#This Row],[  85-89]]</f>
        <v>12</v>
      </c>
      <c r="T27" s="5">
        <f>Table3410111213181422[[#This Row],[  90+]]-Table3410112[[#This Row],[  90+]]</f>
        <v>17</v>
      </c>
    </row>
    <row r="28" spans="1:20" x14ac:dyDescent="0.2">
      <c r="A28" s="9" t="s">
        <v>9</v>
      </c>
      <c r="B28" s="6" t="s">
        <v>23</v>
      </c>
      <c r="C28" s="5">
        <f>Table3410111213181422[[#This Row],[Total]]-Table3410112[[#This Row],[Total]]</f>
        <v>9871</v>
      </c>
      <c r="D28" s="5">
        <f>Table3410111213181422[[#This Row],[  5-11]]-Table3410112[[#This Row],[  5-11]]</f>
        <v>4058</v>
      </c>
      <c r="E28" s="5">
        <f>Table3410111213181422[[#This Row],[  12-17]]-Table3410112[[#This Row],[  12-17]]</f>
        <v>789</v>
      </c>
      <c r="F28" s="5">
        <f>Table3410111213181422[[#This Row],[  18-24]]-Table3410112[[#This Row],[  18-24]]</f>
        <v>642</v>
      </c>
      <c r="G28" s="5">
        <f>Table3410111213181422[[#This Row],[  25-29 ]]-Table3410112[[#This Row],[  25-29 ]]</f>
        <v>678</v>
      </c>
      <c r="H28" s="5">
        <f>Table3410111213181422[[#This Row],[  30-34]]-Table3410112[[#This Row],[  30-34]]</f>
        <v>567</v>
      </c>
      <c r="I28" s="5">
        <f>Table3410111213181422[[#This Row],[  35-39]]-Table3410112[[#This Row],[  35-39]]</f>
        <v>417</v>
      </c>
      <c r="J28" s="5">
        <f>Table3410111213181422[[#This Row],[  40-44]]-Table3410112[[#This Row],[  40-44]]</f>
        <v>378</v>
      </c>
      <c r="K28" s="5">
        <f>Table3410111213181422[[#This Row],[  45-49 ]]-Table3410112[[#This Row],[  45-49 ]]</f>
        <v>507</v>
      </c>
      <c r="L28" s="5">
        <f>Table3410111213181422[[#This Row],[  50-54]]-Table3410112[[#This Row],[  50-54]]</f>
        <v>471</v>
      </c>
      <c r="M28" s="5">
        <f>Table3410111213181422[[#This Row],[  55-59]]-Table3410112[[#This Row],[  55-59]]</f>
        <v>534</v>
      </c>
      <c r="N28" s="5">
        <f>Table3410111213181422[[#This Row],[  60-64]]-Table3410112[[#This Row],[  60-64]]</f>
        <v>238</v>
      </c>
      <c r="O28" s="5">
        <f>Table3410111213181422[[#This Row],[  65-69]]-Table3410112[[#This Row],[  65-69]]</f>
        <v>184</v>
      </c>
      <c r="P28" s="5">
        <f>Table3410111213181422[[#This Row],[  70-74]]-Table3410112[[#This Row],[  70-74]]</f>
        <v>270</v>
      </c>
      <c r="Q28" s="5">
        <f>Table3410111213181422[[#This Row],[  75-79]]-Table3410112[[#This Row],[  75-79]]</f>
        <v>-6</v>
      </c>
      <c r="R28" s="5">
        <f>Table3410111213181422[[#This Row],[  80-84]]-Table3410112[[#This Row],[  80-84]]</f>
        <v>43</v>
      </c>
      <c r="S28" s="5">
        <f>Table3410111213181422[[#This Row],[  85-89]]-Table3410112[[#This Row],[  85-89]]</f>
        <v>61</v>
      </c>
      <c r="T28" s="5">
        <f>Table3410111213181422[[#This Row],[  90+]]-Table3410112[[#This Row],[  90+]]</f>
        <v>40</v>
      </c>
    </row>
    <row r="29" spans="1:20" x14ac:dyDescent="0.2">
      <c r="A29" s="9" t="s">
        <v>10</v>
      </c>
      <c r="B29" s="6" t="s">
        <v>22</v>
      </c>
      <c r="C29" s="5">
        <f>Table3410111213181422[[#This Row],[Total]]-Table3410112[[#This Row],[Total]]</f>
        <v>19963</v>
      </c>
      <c r="D29" s="5">
        <f>Table3410111213181422[[#This Row],[  5-11]]-Table3410112[[#This Row],[  5-11]]</f>
        <v>7814</v>
      </c>
      <c r="E29" s="5">
        <f>Table3410111213181422[[#This Row],[  12-17]]-Table3410112[[#This Row],[  12-17]]</f>
        <v>2040</v>
      </c>
      <c r="F29" s="5">
        <f>Table3410111213181422[[#This Row],[  18-24]]-Table3410112[[#This Row],[  18-24]]</f>
        <v>1090</v>
      </c>
      <c r="G29" s="5">
        <f>Table3410111213181422[[#This Row],[  25-29 ]]-Table3410112[[#This Row],[  25-29 ]]</f>
        <v>980</v>
      </c>
      <c r="H29" s="5">
        <f>Table3410111213181422[[#This Row],[  30-34]]-Table3410112[[#This Row],[  30-34]]</f>
        <v>804</v>
      </c>
      <c r="I29" s="5">
        <f>Table3410111213181422[[#This Row],[  35-39]]-Table3410112[[#This Row],[  35-39]]</f>
        <v>747</v>
      </c>
      <c r="J29" s="5">
        <f>Table3410111213181422[[#This Row],[  40-44]]-Table3410112[[#This Row],[  40-44]]</f>
        <v>835</v>
      </c>
      <c r="K29" s="5">
        <f>Table3410111213181422[[#This Row],[  45-49 ]]-Table3410112[[#This Row],[  45-49 ]]</f>
        <v>1295</v>
      </c>
      <c r="L29" s="5">
        <f>Table3410111213181422[[#This Row],[  50-54]]-Table3410112[[#This Row],[  50-54]]</f>
        <v>1002</v>
      </c>
      <c r="M29" s="5">
        <f>Table3410111213181422[[#This Row],[  55-59]]-Table3410112[[#This Row],[  55-59]]</f>
        <v>1229</v>
      </c>
      <c r="N29" s="5">
        <f>Table3410111213181422[[#This Row],[  60-64]]-Table3410112[[#This Row],[  60-64]]</f>
        <v>860</v>
      </c>
      <c r="O29" s="5">
        <f>Table3410111213181422[[#This Row],[  65-69]]-Table3410112[[#This Row],[  65-69]]</f>
        <v>664</v>
      </c>
      <c r="P29" s="5">
        <f>Table3410111213181422[[#This Row],[  70-74]]-Table3410112[[#This Row],[  70-74]]</f>
        <v>710</v>
      </c>
      <c r="Q29" s="5">
        <f>Table3410111213181422[[#This Row],[  75-79]]-Table3410112[[#This Row],[  75-79]]</f>
        <v>-147</v>
      </c>
      <c r="R29" s="5">
        <f>Table3410111213181422[[#This Row],[  80-84]]-Table3410112[[#This Row],[  80-84]]</f>
        <v>-23</v>
      </c>
      <c r="S29" s="5">
        <f>Table3410111213181422[[#This Row],[  85-89]]-Table3410112[[#This Row],[  85-89]]</f>
        <v>12</v>
      </c>
      <c r="T29" s="5">
        <f>Table3410111213181422[[#This Row],[  90+]]-Table3410112[[#This Row],[  90+]]</f>
        <v>51</v>
      </c>
    </row>
    <row r="30" spans="1:20" x14ac:dyDescent="0.2">
      <c r="A30" s="9" t="s">
        <v>10</v>
      </c>
      <c r="B30" s="6" t="s">
        <v>0</v>
      </c>
      <c r="C30" s="5">
        <f>Table3410111213181422[[#This Row],[Total]]-Table3410112[[#This Row],[Total]]</f>
        <v>9373</v>
      </c>
      <c r="D30" s="5">
        <f>Table3410111213181422[[#This Row],[  5-11]]-Table3410112[[#This Row],[  5-11]]</f>
        <v>4018</v>
      </c>
      <c r="E30" s="5">
        <f>Table3410111213181422[[#This Row],[  12-17]]-Table3410112[[#This Row],[  12-17]]</f>
        <v>1050</v>
      </c>
      <c r="F30" s="5">
        <f>Table3410111213181422[[#This Row],[  18-24]]-Table3410112[[#This Row],[  18-24]]</f>
        <v>431</v>
      </c>
      <c r="G30" s="5">
        <f>Table3410111213181422[[#This Row],[  25-29 ]]-Table3410112[[#This Row],[  25-29 ]]</f>
        <v>362</v>
      </c>
      <c r="H30" s="5">
        <f>Table3410111213181422[[#This Row],[  30-34]]-Table3410112[[#This Row],[  30-34]]</f>
        <v>286</v>
      </c>
      <c r="I30" s="5">
        <f>Table3410111213181422[[#This Row],[  35-39]]-Table3410112[[#This Row],[  35-39]]</f>
        <v>213</v>
      </c>
      <c r="J30" s="5">
        <f>Table3410111213181422[[#This Row],[  40-44]]-Table3410112[[#This Row],[  40-44]]</f>
        <v>337</v>
      </c>
      <c r="K30" s="5">
        <f>Table3410111213181422[[#This Row],[  45-49 ]]-Table3410112[[#This Row],[  45-49 ]]</f>
        <v>610</v>
      </c>
      <c r="L30" s="5">
        <f>Table3410111213181422[[#This Row],[  50-54]]-Table3410112[[#This Row],[  50-54]]</f>
        <v>500</v>
      </c>
      <c r="M30" s="5">
        <f>Table3410111213181422[[#This Row],[  55-59]]-Table3410112[[#This Row],[  55-59]]</f>
        <v>525</v>
      </c>
      <c r="N30" s="5">
        <f>Table3410111213181422[[#This Row],[  60-64]]-Table3410112[[#This Row],[  60-64]]</f>
        <v>467</v>
      </c>
      <c r="O30" s="5">
        <f>Table3410111213181422[[#This Row],[  65-69]]-Table3410112[[#This Row],[  65-69]]</f>
        <v>332</v>
      </c>
      <c r="P30" s="5">
        <f>Table3410111213181422[[#This Row],[  70-74]]-Table3410112[[#This Row],[  70-74]]</f>
        <v>374</v>
      </c>
      <c r="Q30" s="5">
        <f>Table3410111213181422[[#This Row],[  75-79]]-Table3410112[[#This Row],[  75-79]]</f>
        <v>-107</v>
      </c>
      <c r="R30" s="5">
        <f>Table3410111213181422[[#This Row],[  80-84]]-Table3410112[[#This Row],[  80-84]]</f>
        <v>-24</v>
      </c>
      <c r="S30" s="5">
        <f>Table3410111213181422[[#This Row],[  85-89]]-Table3410112[[#This Row],[  85-89]]</f>
        <v>3</v>
      </c>
      <c r="T30" s="5">
        <f>Table3410111213181422[[#This Row],[  90+]]-Table3410112[[#This Row],[  90+]]</f>
        <v>-4</v>
      </c>
    </row>
    <row r="31" spans="1:20" x14ac:dyDescent="0.2">
      <c r="A31" s="9" t="s">
        <v>10</v>
      </c>
      <c r="B31" s="6" t="s">
        <v>23</v>
      </c>
      <c r="C31" s="5">
        <f>Table3410111213181422[[#This Row],[Total]]-Table3410112[[#This Row],[Total]]</f>
        <v>10590</v>
      </c>
      <c r="D31" s="5">
        <f>Table3410111213181422[[#This Row],[  5-11]]-Table3410112[[#This Row],[  5-11]]</f>
        <v>3796</v>
      </c>
      <c r="E31" s="5">
        <f>Table3410111213181422[[#This Row],[  12-17]]-Table3410112[[#This Row],[  12-17]]</f>
        <v>990</v>
      </c>
      <c r="F31" s="5">
        <f>Table3410111213181422[[#This Row],[  18-24]]-Table3410112[[#This Row],[  18-24]]</f>
        <v>659</v>
      </c>
      <c r="G31" s="5">
        <f>Table3410111213181422[[#This Row],[  25-29 ]]-Table3410112[[#This Row],[  25-29 ]]</f>
        <v>618</v>
      </c>
      <c r="H31" s="5">
        <f>Table3410111213181422[[#This Row],[  30-34]]-Table3410112[[#This Row],[  30-34]]</f>
        <v>518</v>
      </c>
      <c r="I31" s="5">
        <f>Table3410111213181422[[#This Row],[  35-39]]-Table3410112[[#This Row],[  35-39]]</f>
        <v>534</v>
      </c>
      <c r="J31" s="5">
        <f>Table3410111213181422[[#This Row],[  40-44]]-Table3410112[[#This Row],[  40-44]]</f>
        <v>498</v>
      </c>
      <c r="K31" s="5">
        <f>Table3410111213181422[[#This Row],[  45-49 ]]-Table3410112[[#This Row],[  45-49 ]]</f>
        <v>685</v>
      </c>
      <c r="L31" s="5">
        <f>Table3410111213181422[[#This Row],[  50-54]]-Table3410112[[#This Row],[  50-54]]</f>
        <v>502</v>
      </c>
      <c r="M31" s="5">
        <f>Table3410111213181422[[#This Row],[  55-59]]-Table3410112[[#This Row],[  55-59]]</f>
        <v>704</v>
      </c>
      <c r="N31" s="5">
        <f>Table3410111213181422[[#This Row],[  60-64]]-Table3410112[[#This Row],[  60-64]]</f>
        <v>393</v>
      </c>
      <c r="O31" s="5">
        <f>Table3410111213181422[[#This Row],[  65-69]]-Table3410112[[#This Row],[  65-69]]</f>
        <v>332</v>
      </c>
      <c r="P31" s="5">
        <f>Table3410111213181422[[#This Row],[  70-74]]-Table3410112[[#This Row],[  70-74]]</f>
        <v>336</v>
      </c>
      <c r="Q31" s="5">
        <f>Table3410111213181422[[#This Row],[  75-79]]-Table3410112[[#This Row],[  75-79]]</f>
        <v>-40</v>
      </c>
      <c r="R31" s="5">
        <f>Table3410111213181422[[#This Row],[  80-84]]-Table3410112[[#This Row],[  80-84]]</f>
        <v>1</v>
      </c>
      <c r="S31" s="5">
        <f>Table3410111213181422[[#This Row],[  85-89]]-Table3410112[[#This Row],[  85-89]]</f>
        <v>9</v>
      </c>
      <c r="T31" s="5">
        <f>Table3410111213181422[[#This Row],[  90+]]-Table3410112[[#This Row],[  90+]]</f>
        <v>55</v>
      </c>
    </row>
    <row r="32" spans="1:20" x14ac:dyDescent="0.2">
      <c r="A32" s="9" t="s">
        <v>11</v>
      </c>
      <c r="B32" s="6" t="s">
        <v>22</v>
      </c>
      <c r="C32" s="5">
        <f>Table3410111213181422[[#This Row],[Total]]-Table3410112[[#This Row],[Total]]</f>
        <v>23517</v>
      </c>
      <c r="D32" s="5">
        <f>Table3410111213181422[[#This Row],[  5-11]]-Table3410112[[#This Row],[  5-11]]</f>
        <v>7110</v>
      </c>
      <c r="E32" s="5">
        <f>Table3410111213181422[[#This Row],[  12-17]]-Table3410112[[#This Row],[  12-17]]</f>
        <v>2162</v>
      </c>
      <c r="F32" s="5">
        <f>Table3410111213181422[[#This Row],[  18-24]]-Table3410112[[#This Row],[  18-24]]</f>
        <v>1237</v>
      </c>
      <c r="G32" s="5">
        <f>Table3410111213181422[[#This Row],[  25-29 ]]-Table3410112[[#This Row],[  25-29 ]]</f>
        <v>1395</v>
      </c>
      <c r="H32" s="5">
        <f>Table3410111213181422[[#This Row],[  30-34]]-Table3410112[[#This Row],[  30-34]]</f>
        <v>1466</v>
      </c>
      <c r="I32" s="5">
        <f>Table3410111213181422[[#This Row],[  35-39]]-Table3410112[[#This Row],[  35-39]]</f>
        <v>1137</v>
      </c>
      <c r="J32" s="5">
        <f>Table3410111213181422[[#This Row],[  40-44]]-Table3410112[[#This Row],[  40-44]]</f>
        <v>1052</v>
      </c>
      <c r="K32" s="5">
        <f>Table3410111213181422[[#This Row],[  45-49 ]]-Table3410112[[#This Row],[  45-49 ]]</f>
        <v>1319</v>
      </c>
      <c r="L32" s="5">
        <f>Table3410111213181422[[#This Row],[  50-54]]-Table3410112[[#This Row],[  50-54]]</f>
        <v>1443</v>
      </c>
      <c r="M32" s="5">
        <f>Table3410111213181422[[#This Row],[  55-59]]-Table3410112[[#This Row],[  55-59]]</f>
        <v>1667</v>
      </c>
      <c r="N32" s="5">
        <f>Table3410111213181422[[#This Row],[  60-64]]-Table3410112[[#This Row],[  60-64]]</f>
        <v>1281</v>
      </c>
      <c r="O32" s="5">
        <f>Table3410111213181422[[#This Row],[  65-69]]-Table3410112[[#This Row],[  65-69]]</f>
        <v>1085</v>
      </c>
      <c r="P32" s="5">
        <f>Table3410111213181422[[#This Row],[  70-74]]-Table3410112[[#This Row],[  70-74]]</f>
        <v>836</v>
      </c>
      <c r="Q32" s="5">
        <f>Table3410111213181422[[#This Row],[  75-79]]-Table3410112[[#This Row],[  75-79]]</f>
        <v>82</v>
      </c>
      <c r="R32" s="5">
        <f>Table3410111213181422[[#This Row],[  80-84]]-Table3410112[[#This Row],[  80-84]]</f>
        <v>99</v>
      </c>
      <c r="S32" s="5">
        <f>Table3410111213181422[[#This Row],[  85-89]]-Table3410112[[#This Row],[  85-89]]</f>
        <v>44</v>
      </c>
      <c r="T32" s="5">
        <f>Table3410111213181422[[#This Row],[  90+]]-Table3410112[[#This Row],[  90+]]</f>
        <v>102</v>
      </c>
    </row>
    <row r="33" spans="1:20" x14ac:dyDescent="0.2">
      <c r="A33" s="9" t="s">
        <v>11</v>
      </c>
      <c r="B33" s="6" t="s">
        <v>0</v>
      </c>
      <c r="C33" s="5">
        <f>Table3410111213181422[[#This Row],[Total]]-Table3410112[[#This Row],[Total]]</f>
        <v>12035</v>
      </c>
      <c r="D33" s="5">
        <f>Table3410111213181422[[#This Row],[  5-11]]-Table3410112[[#This Row],[  5-11]]</f>
        <v>3653</v>
      </c>
      <c r="E33" s="5">
        <f>Table3410111213181422[[#This Row],[  12-17]]-Table3410112[[#This Row],[  12-17]]</f>
        <v>1115</v>
      </c>
      <c r="F33" s="5">
        <f>Table3410111213181422[[#This Row],[  18-24]]-Table3410112[[#This Row],[  18-24]]</f>
        <v>684</v>
      </c>
      <c r="G33" s="5">
        <f>Table3410111213181422[[#This Row],[  25-29 ]]-Table3410112[[#This Row],[  25-29 ]]</f>
        <v>630</v>
      </c>
      <c r="H33" s="5">
        <f>Table3410111213181422[[#This Row],[  30-34]]-Table3410112[[#This Row],[  30-34]]</f>
        <v>798</v>
      </c>
      <c r="I33" s="5">
        <f>Table3410111213181422[[#This Row],[  35-39]]-Table3410112[[#This Row],[  35-39]]</f>
        <v>533</v>
      </c>
      <c r="J33" s="5">
        <f>Table3410111213181422[[#This Row],[  40-44]]-Table3410112[[#This Row],[  40-44]]</f>
        <v>507</v>
      </c>
      <c r="K33" s="5">
        <f>Table3410111213181422[[#This Row],[  45-49 ]]-Table3410112[[#This Row],[  45-49 ]]</f>
        <v>720</v>
      </c>
      <c r="L33" s="5">
        <f>Table3410111213181422[[#This Row],[  50-54]]-Table3410112[[#This Row],[  50-54]]</f>
        <v>684</v>
      </c>
      <c r="M33" s="5">
        <f>Table3410111213181422[[#This Row],[  55-59]]-Table3410112[[#This Row],[  55-59]]</f>
        <v>866</v>
      </c>
      <c r="N33" s="5">
        <f>Table3410111213181422[[#This Row],[  60-64]]-Table3410112[[#This Row],[  60-64]]</f>
        <v>645</v>
      </c>
      <c r="O33" s="5">
        <f>Table3410111213181422[[#This Row],[  65-69]]-Table3410112[[#This Row],[  65-69]]</f>
        <v>612</v>
      </c>
      <c r="P33" s="5">
        <f>Table3410111213181422[[#This Row],[  70-74]]-Table3410112[[#This Row],[  70-74]]</f>
        <v>439</v>
      </c>
      <c r="Q33" s="5">
        <f>Table3410111213181422[[#This Row],[  75-79]]-Table3410112[[#This Row],[  75-79]]</f>
        <v>27</v>
      </c>
      <c r="R33" s="5">
        <f>Table3410111213181422[[#This Row],[  80-84]]-Table3410112[[#This Row],[  80-84]]</f>
        <v>64</v>
      </c>
      <c r="S33" s="5">
        <f>Table3410111213181422[[#This Row],[  85-89]]-Table3410112[[#This Row],[  85-89]]</f>
        <v>23</v>
      </c>
      <c r="T33" s="5">
        <f>Table3410111213181422[[#This Row],[  90+]]-Table3410112[[#This Row],[  90+]]</f>
        <v>35</v>
      </c>
    </row>
    <row r="34" spans="1:20" x14ac:dyDescent="0.2">
      <c r="A34" s="9" t="s">
        <v>11</v>
      </c>
      <c r="B34" s="6" t="s">
        <v>23</v>
      </c>
      <c r="C34" s="5">
        <f>Table3410111213181422[[#This Row],[Total]]-Table3410112[[#This Row],[Total]]</f>
        <v>11482</v>
      </c>
      <c r="D34" s="5">
        <f>Table3410111213181422[[#This Row],[  5-11]]-Table3410112[[#This Row],[  5-11]]</f>
        <v>3457</v>
      </c>
      <c r="E34" s="5">
        <f>Table3410111213181422[[#This Row],[  12-17]]-Table3410112[[#This Row],[  12-17]]</f>
        <v>1047</v>
      </c>
      <c r="F34" s="5">
        <f>Table3410111213181422[[#This Row],[  18-24]]-Table3410112[[#This Row],[  18-24]]</f>
        <v>553</v>
      </c>
      <c r="G34" s="5">
        <f>Table3410111213181422[[#This Row],[  25-29 ]]-Table3410112[[#This Row],[  25-29 ]]</f>
        <v>765</v>
      </c>
      <c r="H34" s="5">
        <f>Table3410111213181422[[#This Row],[  30-34]]-Table3410112[[#This Row],[  30-34]]</f>
        <v>668</v>
      </c>
      <c r="I34" s="5">
        <f>Table3410111213181422[[#This Row],[  35-39]]-Table3410112[[#This Row],[  35-39]]</f>
        <v>604</v>
      </c>
      <c r="J34" s="5">
        <f>Table3410111213181422[[#This Row],[  40-44]]-Table3410112[[#This Row],[  40-44]]</f>
        <v>545</v>
      </c>
      <c r="K34" s="5">
        <f>Table3410111213181422[[#This Row],[  45-49 ]]-Table3410112[[#This Row],[  45-49 ]]</f>
        <v>599</v>
      </c>
      <c r="L34" s="5">
        <f>Table3410111213181422[[#This Row],[  50-54]]-Table3410112[[#This Row],[  50-54]]</f>
        <v>759</v>
      </c>
      <c r="M34" s="5">
        <f>Table3410111213181422[[#This Row],[  55-59]]-Table3410112[[#This Row],[  55-59]]</f>
        <v>801</v>
      </c>
      <c r="N34" s="5">
        <f>Table3410111213181422[[#This Row],[  60-64]]-Table3410112[[#This Row],[  60-64]]</f>
        <v>636</v>
      </c>
      <c r="O34" s="5">
        <f>Table3410111213181422[[#This Row],[  65-69]]-Table3410112[[#This Row],[  65-69]]</f>
        <v>473</v>
      </c>
      <c r="P34" s="5">
        <f>Table3410111213181422[[#This Row],[  70-74]]-Table3410112[[#This Row],[  70-74]]</f>
        <v>397</v>
      </c>
      <c r="Q34" s="5">
        <f>Table3410111213181422[[#This Row],[  75-79]]-Table3410112[[#This Row],[  75-79]]</f>
        <v>55</v>
      </c>
      <c r="R34" s="5">
        <f>Table3410111213181422[[#This Row],[  80-84]]-Table3410112[[#This Row],[  80-84]]</f>
        <v>35</v>
      </c>
      <c r="S34" s="5">
        <f>Table3410111213181422[[#This Row],[  85-89]]-Table3410112[[#This Row],[  85-89]]</f>
        <v>21</v>
      </c>
      <c r="T34" s="5">
        <f>Table3410111213181422[[#This Row],[  90+]]-Table3410112[[#This Row],[  90+]]</f>
        <v>67</v>
      </c>
    </row>
    <row r="35" spans="1:20" x14ac:dyDescent="0.2">
      <c r="A35" s="9" t="s">
        <v>12</v>
      </c>
      <c r="B35" s="6" t="s">
        <v>22</v>
      </c>
      <c r="C35" s="5">
        <f>Table3410111213181422[[#This Row],[Total]]-Table3410112[[#This Row],[Total]]</f>
        <v>18209</v>
      </c>
      <c r="D35" s="5">
        <f>Table3410111213181422[[#This Row],[  5-11]]-Table3410112[[#This Row],[  5-11]]</f>
        <v>164</v>
      </c>
      <c r="E35" s="5">
        <f>Table3410111213181422[[#This Row],[  12-17]]-Table3410112[[#This Row],[  12-17]]</f>
        <v>692</v>
      </c>
      <c r="F35" s="5">
        <f>Table3410111213181422[[#This Row],[  18-24]]-Table3410112[[#This Row],[  18-24]]</f>
        <v>2001</v>
      </c>
      <c r="G35" s="5">
        <f>Table3410111213181422[[#This Row],[  25-29 ]]-Table3410112[[#This Row],[  25-29 ]]</f>
        <v>2908</v>
      </c>
      <c r="H35" s="5">
        <f>Table3410111213181422[[#This Row],[  30-34]]-Table3410112[[#This Row],[  30-34]]</f>
        <v>3076</v>
      </c>
      <c r="I35" s="5">
        <f>Table3410111213181422[[#This Row],[  35-39]]-Table3410112[[#This Row],[  35-39]]</f>
        <v>2124</v>
      </c>
      <c r="J35" s="5">
        <f>Table3410111213181422[[#This Row],[  40-44]]-Table3410112[[#This Row],[  40-44]]</f>
        <v>1635</v>
      </c>
      <c r="K35" s="5">
        <f>Table3410111213181422[[#This Row],[  45-49 ]]-Table3410112[[#This Row],[  45-49 ]]</f>
        <v>1158</v>
      </c>
      <c r="L35" s="5">
        <f>Table3410111213181422[[#This Row],[  50-54]]-Table3410112[[#This Row],[  50-54]]</f>
        <v>1423</v>
      </c>
      <c r="M35" s="5">
        <f>Table3410111213181422[[#This Row],[  55-59]]-Table3410112[[#This Row],[  55-59]]</f>
        <v>1251</v>
      </c>
      <c r="N35" s="5">
        <f>Table3410111213181422[[#This Row],[  60-64]]-Table3410112[[#This Row],[  60-64]]</f>
        <v>949</v>
      </c>
      <c r="O35" s="5">
        <f>Table3410111213181422[[#This Row],[  65-69]]-Table3410112[[#This Row],[  65-69]]</f>
        <v>355</v>
      </c>
      <c r="P35" s="5">
        <f>Table3410111213181422[[#This Row],[  70-74]]-Table3410112[[#This Row],[  70-74]]</f>
        <v>283</v>
      </c>
      <c r="Q35" s="5">
        <f>Table3410111213181422[[#This Row],[  75-79]]-Table3410112[[#This Row],[  75-79]]</f>
        <v>110</v>
      </c>
      <c r="R35" s="5">
        <f>Table3410111213181422[[#This Row],[  80-84]]-Table3410112[[#This Row],[  80-84]]</f>
        <v>46</v>
      </c>
      <c r="S35" s="5">
        <f>Table3410111213181422[[#This Row],[  85-89]]-Table3410112[[#This Row],[  85-89]]</f>
        <v>20</v>
      </c>
      <c r="T35" s="5">
        <f>Table3410111213181422[[#This Row],[  90+]]-Table3410112[[#This Row],[  90+]]</f>
        <v>14</v>
      </c>
    </row>
    <row r="36" spans="1:20" x14ac:dyDescent="0.2">
      <c r="A36" s="9" t="s">
        <v>12</v>
      </c>
      <c r="B36" s="6" t="s">
        <v>0</v>
      </c>
      <c r="C36" s="5">
        <f>Table3410111213181422[[#This Row],[Total]]-Table3410112[[#This Row],[Total]]</f>
        <v>13384</v>
      </c>
      <c r="D36" s="5">
        <f>Table3410111213181422[[#This Row],[  5-11]]-Table3410112[[#This Row],[  5-11]]</f>
        <v>87</v>
      </c>
      <c r="E36" s="5">
        <f>Table3410111213181422[[#This Row],[  12-17]]-Table3410112[[#This Row],[  12-17]]</f>
        <v>366</v>
      </c>
      <c r="F36" s="5">
        <f>Table3410111213181422[[#This Row],[  18-24]]-Table3410112[[#This Row],[  18-24]]</f>
        <v>1474</v>
      </c>
      <c r="G36" s="5">
        <f>Table3410111213181422[[#This Row],[  25-29 ]]-Table3410112[[#This Row],[  25-29 ]]</f>
        <v>2250</v>
      </c>
      <c r="H36" s="5">
        <f>Table3410111213181422[[#This Row],[  30-34]]-Table3410112[[#This Row],[  30-34]]</f>
        <v>2215</v>
      </c>
      <c r="I36" s="5">
        <f>Table3410111213181422[[#This Row],[  35-39]]-Table3410112[[#This Row],[  35-39]]</f>
        <v>1761</v>
      </c>
      <c r="J36" s="5">
        <f>Table3410111213181422[[#This Row],[  40-44]]-Table3410112[[#This Row],[  40-44]]</f>
        <v>1369</v>
      </c>
      <c r="K36" s="5">
        <f>Table3410111213181422[[#This Row],[  45-49 ]]-Table3410112[[#This Row],[  45-49 ]]</f>
        <v>765</v>
      </c>
      <c r="L36" s="5">
        <f>Table3410111213181422[[#This Row],[  50-54]]-Table3410112[[#This Row],[  50-54]]</f>
        <v>1138</v>
      </c>
      <c r="M36" s="5">
        <f>Table3410111213181422[[#This Row],[  55-59]]-Table3410112[[#This Row],[  55-59]]</f>
        <v>828</v>
      </c>
      <c r="N36" s="5">
        <f>Table3410111213181422[[#This Row],[  60-64]]-Table3410112[[#This Row],[  60-64]]</f>
        <v>677</v>
      </c>
      <c r="O36" s="5">
        <f>Table3410111213181422[[#This Row],[  65-69]]-Table3410112[[#This Row],[  65-69]]</f>
        <v>200</v>
      </c>
      <c r="P36" s="5">
        <f>Table3410111213181422[[#This Row],[  70-74]]-Table3410112[[#This Row],[  70-74]]</f>
        <v>159</v>
      </c>
      <c r="Q36" s="5">
        <f>Table3410111213181422[[#This Row],[  75-79]]-Table3410112[[#This Row],[  75-79]]</f>
        <v>66</v>
      </c>
      <c r="R36" s="5">
        <f>Table3410111213181422[[#This Row],[  80-84]]-Table3410112[[#This Row],[  80-84]]</f>
        <v>29</v>
      </c>
      <c r="S36" s="5">
        <f>Table3410111213181422[[#This Row],[  85-89]]-Table3410112[[#This Row],[  85-89]]</f>
        <v>0</v>
      </c>
      <c r="T36" s="5">
        <f>Table3410111213181422[[#This Row],[  90+]]-Table3410112[[#This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Table3410111213181422[[#This Row],[Total]]-Table3410112[[#This Row],[Total]]</f>
        <v>4825</v>
      </c>
      <c r="D37" s="5">
        <f>Table3410111213181422[[#This Row],[  5-11]]-Table3410112[[#This Row],[  5-11]]</f>
        <v>77</v>
      </c>
      <c r="E37" s="5">
        <f>Table3410111213181422[[#This Row],[  12-17]]-Table3410112[[#This Row],[  12-17]]</f>
        <v>326</v>
      </c>
      <c r="F37" s="5">
        <f>Table3410111213181422[[#This Row],[  18-24]]-Table3410112[[#This Row],[  18-24]]</f>
        <v>527</v>
      </c>
      <c r="G37" s="5">
        <f>Table3410111213181422[[#This Row],[  25-29 ]]-Table3410112[[#This Row],[  25-29 ]]</f>
        <v>658</v>
      </c>
      <c r="H37" s="5">
        <f>Table3410111213181422[[#This Row],[  30-34]]-Table3410112[[#This Row],[  30-34]]</f>
        <v>861</v>
      </c>
      <c r="I37" s="5">
        <f>Table3410111213181422[[#This Row],[  35-39]]-Table3410112[[#This Row],[  35-39]]</f>
        <v>363</v>
      </c>
      <c r="J37" s="5">
        <f>Table3410111213181422[[#This Row],[  40-44]]-Table3410112[[#This Row],[  40-44]]</f>
        <v>266</v>
      </c>
      <c r="K37" s="5">
        <f>Table3410111213181422[[#This Row],[  45-49 ]]-Table3410112[[#This Row],[  45-49 ]]</f>
        <v>393</v>
      </c>
      <c r="L37" s="5">
        <f>Table3410111213181422[[#This Row],[  50-54]]-Table3410112[[#This Row],[  50-54]]</f>
        <v>285</v>
      </c>
      <c r="M37" s="5">
        <f>Table3410111213181422[[#This Row],[  55-59]]-Table3410112[[#This Row],[  55-59]]</f>
        <v>423</v>
      </c>
      <c r="N37" s="5">
        <f>Table3410111213181422[[#This Row],[  60-64]]-Table3410112[[#This Row],[  60-64]]</f>
        <v>272</v>
      </c>
      <c r="O37" s="5">
        <f>Table3410111213181422[[#This Row],[  65-69]]-Table3410112[[#This Row],[  65-69]]</f>
        <v>155</v>
      </c>
      <c r="P37" s="5">
        <f>Table3410111213181422[[#This Row],[  70-74]]-Table3410112[[#This Row],[  70-74]]</f>
        <v>124</v>
      </c>
      <c r="Q37" s="5">
        <f>Table3410111213181422[[#This Row],[  75-79]]-Table3410112[[#This Row],[  75-79]]</f>
        <v>44</v>
      </c>
      <c r="R37" s="5">
        <f>Table3410111213181422[[#This Row],[  80-84]]-Table3410112[[#This Row],[  80-84]]</f>
        <v>17</v>
      </c>
      <c r="S37" s="5">
        <f>Table3410111213181422[[#This Row],[  85-89]]-Table3410112[[#This Row],[  85-89]]</f>
        <v>20</v>
      </c>
      <c r="T37" s="5">
        <f>Table3410111213181422[[#This Row],[  90+]]-Table3410112[[#This Row],[  90+]]</f>
        <v>14</v>
      </c>
    </row>
    <row r="38" spans="1:20" x14ac:dyDescent="0.2">
      <c r="A38" s="9" t="s">
        <v>13</v>
      </c>
      <c r="B38" s="6" t="s">
        <v>22</v>
      </c>
      <c r="C38" s="5">
        <f>Table3410111213181422[[#This Row],[Total]]-Table3410112[[#This Row],[Total]]</f>
        <v>8125</v>
      </c>
      <c r="D38" s="5">
        <f>Table3410111213181422[[#This Row],[  5-11]]-Table3410112[[#This Row],[  5-11]]</f>
        <v>3318</v>
      </c>
      <c r="E38" s="5">
        <f>Table3410111213181422[[#This Row],[  12-17]]-Table3410112[[#This Row],[  12-17]]</f>
        <v>649</v>
      </c>
      <c r="F38" s="5">
        <f>Table3410111213181422[[#This Row],[  18-24]]-Table3410112[[#This Row],[  18-24]]</f>
        <v>594</v>
      </c>
      <c r="G38" s="5">
        <f>Table3410111213181422[[#This Row],[  25-29 ]]-Table3410112[[#This Row],[  25-29 ]]</f>
        <v>637</v>
      </c>
      <c r="H38" s="5">
        <f>Table3410111213181422[[#This Row],[  30-34]]-Table3410112[[#This Row],[  30-34]]</f>
        <v>446</v>
      </c>
      <c r="I38" s="5">
        <f>Table3410111213181422[[#This Row],[  35-39]]-Table3410112[[#This Row],[  35-39]]</f>
        <v>320</v>
      </c>
      <c r="J38" s="5">
        <f>Table3410111213181422[[#This Row],[  40-44]]-Table3410112[[#This Row],[  40-44]]</f>
        <v>386</v>
      </c>
      <c r="K38" s="5">
        <f>Table3410111213181422[[#This Row],[  45-49 ]]-Table3410112[[#This Row],[  45-49 ]]</f>
        <v>432</v>
      </c>
      <c r="L38" s="5">
        <f>Table3410111213181422[[#This Row],[  50-54]]-Table3410112[[#This Row],[  50-54]]</f>
        <v>297</v>
      </c>
      <c r="M38" s="5">
        <f>Table3410111213181422[[#This Row],[  55-59]]-Table3410112[[#This Row],[  55-59]]</f>
        <v>366</v>
      </c>
      <c r="N38" s="5">
        <f>Table3410111213181422[[#This Row],[  60-64]]-Table3410112[[#This Row],[  60-64]]</f>
        <v>231</v>
      </c>
      <c r="O38" s="5">
        <f>Table3410111213181422[[#This Row],[  65-69]]-Table3410112[[#This Row],[  65-69]]</f>
        <v>186</v>
      </c>
      <c r="P38" s="5">
        <f>Table3410111213181422[[#This Row],[  70-74]]-Table3410112[[#This Row],[  70-74]]</f>
        <v>210</v>
      </c>
      <c r="Q38" s="5">
        <f>Table3410111213181422[[#This Row],[  75-79]]-Table3410112[[#This Row],[  75-79]]</f>
        <v>-47</v>
      </c>
      <c r="R38" s="5">
        <f>Table3410111213181422[[#This Row],[  80-84]]-Table3410112[[#This Row],[  80-84]]</f>
        <v>53</v>
      </c>
      <c r="S38" s="5">
        <f>Table3410111213181422[[#This Row],[  85-89]]-Table3410112[[#This Row],[  85-89]]</f>
        <v>33</v>
      </c>
      <c r="T38" s="5">
        <f>Table3410111213181422[[#This Row],[  90+]]-Table3410112[[#This Row],[  90+]]</f>
        <v>14</v>
      </c>
    </row>
    <row r="39" spans="1:20" x14ac:dyDescent="0.2">
      <c r="A39" s="9" t="s">
        <v>13</v>
      </c>
      <c r="B39" s="6" t="s">
        <v>0</v>
      </c>
      <c r="C39" s="5">
        <f>Table3410111213181422[[#This Row],[Total]]-Table3410112[[#This Row],[Total]]</f>
        <v>4089</v>
      </c>
      <c r="D39" s="5">
        <f>Table3410111213181422[[#This Row],[  5-11]]-Table3410112[[#This Row],[  5-11]]</f>
        <v>1728</v>
      </c>
      <c r="E39" s="5">
        <f>Table3410111213181422[[#This Row],[  12-17]]-Table3410112[[#This Row],[  12-17]]</f>
        <v>319</v>
      </c>
      <c r="F39" s="5">
        <f>Table3410111213181422[[#This Row],[  18-24]]-Table3410112[[#This Row],[  18-24]]</f>
        <v>275</v>
      </c>
      <c r="G39" s="5">
        <f>Table3410111213181422[[#This Row],[  25-29 ]]-Table3410112[[#This Row],[  25-29 ]]</f>
        <v>332</v>
      </c>
      <c r="H39" s="5">
        <f>Table3410111213181422[[#This Row],[  30-34]]-Table3410112[[#This Row],[  30-34]]</f>
        <v>228</v>
      </c>
      <c r="I39" s="5">
        <f>Table3410111213181422[[#This Row],[  35-39]]-Table3410112[[#This Row],[  35-39]]</f>
        <v>181</v>
      </c>
      <c r="J39" s="5">
        <f>Table3410111213181422[[#This Row],[  40-44]]-Table3410112[[#This Row],[  40-44]]</f>
        <v>206</v>
      </c>
      <c r="K39" s="5">
        <f>Table3410111213181422[[#This Row],[  45-49 ]]-Table3410112[[#This Row],[  45-49 ]]</f>
        <v>203</v>
      </c>
      <c r="L39" s="5">
        <f>Table3410111213181422[[#This Row],[  50-54]]-Table3410112[[#This Row],[  50-54]]</f>
        <v>150</v>
      </c>
      <c r="M39" s="5">
        <f>Table3410111213181422[[#This Row],[  55-59]]-Table3410112[[#This Row],[  55-59]]</f>
        <v>191</v>
      </c>
      <c r="N39" s="5">
        <f>Table3410111213181422[[#This Row],[  60-64]]-Table3410112[[#This Row],[  60-64]]</f>
        <v>78</v>
      </c>
      <c r="O39" s="5">
        <f>Table3410111213181422[[#This Row],[  65-69]]-Table3410112[[#This Row],[  65-69]]</f>
        <v>88</v>
      </c>
      <c r="P39" s="5">
        <f>Table3410111213181422[[#This Row],[  70-74]]-Table3410112[[#This Row],[  70-74]]</f>
        <v>114</v>
      </c>
      <c r="Q39" s="5">
        <f>Table3410111213181422[[#This Row],[  75-79]]-Table3410112[[#This Row],[  75-79]]</f>
        <v>-12</v>
      </c>
      <c r="R39" s="5">
        <f>Table3410111213181422[[#This Row],[  80-84]]-Table3410112[[#This Row],[  80-84]]</f>
        <v>-8</v>
      </c>
      <c r="S39" s="5">
        <f>Table3410111213181422[[#This Row],[  85-89]]-Table3410112[[#This Row],[  85-89]]</f>
        <v>22</v>
      </c>
      <c r="T39" s="5">
        <f>Table3410111213181422[[#This Row],[  90+]]-Table3410112[[#This Row],[  90+]]</f>
        <v>-6</v>
      </c>
    </row>
    <row r="40" spans="1:20" x14ac:dyDescent="0.2">
      <c r="A40" s="9" t="s">
        <v>13</v>
      </c>
      <c r="B40" s="6" t="s">
        <v>23</v>
      </c>
      <c r="C40" s="5">
        <f>Table3410111213181422[[#This Row],[Total]]-Table3410112[[#This Row],[Total]]</f>
        <v>4036</v>
      </c>
      <c r="D40" s="5">
        <f>Table3410111213181422[[#This Row],[  5-11]]-Table3410112[[#This Row],[  5-11]]</f>
        <v>1590</v>
      </c>
      <c r="E40" s="5">
        <f>Table3410111213181422[[#This Row],[  12-17]]-Table3410112[[#This Row],[  12-17]]</f>
        <v>330</v>
      </c>
      <c r="F40" s="5">
        <f>Table3410111213181422[[#This Row],[  18-24]]-Table3410112[[#This Row],[  18-24]]</f>
        <v>319</v>
      </c>
      <c r="G40" s="5">
        <f>Table3410111213181422[[#This Row],[  25-29 ]]-Table3410112[[#This Row],[  25-29 ]]</f>
        <v>305</v>
      </c>
      <c r="H40" s="5">
        <f>Table3410111213181422[[#This Row],[  30-34]]-Table3410112[[#This Row],[  30-34]]</f>
        <v>218</v>
      </c>
      <c r="I40" s="5">
        <f>Table3410111213181422[[#This Row],[  35-39]]-Table3410112[[#This Row],[  35-39]]</f>
        <v>139</v>
      </c>
      <c r="J40" s="5">
        <f>Table3410111213181422[[#This Row],[  40-44]]-Table3410112[[#This Row],[  40-44]]</f>
        <v>180</v>
      </c>
      <c r="K40" s="5">
        <f>Table3410111213181422[[#This Row],[  45-49 ]]-Table3410112[[#This Row],[  45-49 ]]</f>
        <v>229</v>
      </c>
      <c r="L40" s="5">
        <f>Table3410111213181422[[#This Row],[  50-54]]-Table3410112[[#This Row],[  50-54]]</f>
        <v>147</v>
      </c>
      <c r="M40" s="5">
        <f>Table3410111213181422[[#This Row],[  55-59]]-Table3410112[[#This Row],[  55-59]]</f>
        <v>175</v>
      </c>
      <c r="N40" s="5">
        <f>Table3410111213181422[[#This Row],[  60-64]]-Table3410112[[#This Row],[  60-64]]</f>
        <v>153</v>
      </c>
      <c r="O40" s="5">
        <f>Table3410111213181422[[#This Row],[  65-69]]-Table3410112[[#This Row],[  65-69]]</f>
        <v>98</v>
      </c>
      <c r="P40" s="5">
        <f>Table3410111213181422[[#This Row],[  70-74]]-Table3410112[[#This Row],[  70-74]]</f>
        <v>96</v>
      </c>
      <c r="Q40" s="5">
        <f>Table3410111213181422[[#This Row],[  75-79]]-Table3410112[[#This Row],[  75-79]]</f>
        <v>-35</v>
      </c>
      <c r="R40" s="5">
        <f>Table3410111213181422[[#This Row],[  80-84]]-Table3410112[[#This Row],[  80-84]]</f>
        <v>61</v>
      </c>
      <c r="S40" s="5">
        <f>Table3410111213181422[[#This Row],[  85-89]]-Table3410112[[#This Row],[  85-89]]</f>
        <v>11</v>
      </c>
      <c r="T40" s="5">
        <f>Table3410111213181422[[#This Row],[  90+]]-Table3410112[[#This Row],[  90+]]</f>
        <v>20</v>
      </c>
    </row>
    <row r="41" spans="1:20" x14ac:dyDescent="0.2">
      <c r="A41" s="9" t="s">
        <v>14</v>
      </c>
      <c r="B41" s="6" t="s">
        <v>22</v>
      </c>
      <c r="C41" s="5">
        <f>Table3410111213181422[[#This Row],[Total]]-Table3410112[[#This Row],[Total]]</f>
        <v>36016</v>
      </c>
      <c r="D41" s="5">
        <f>Table3410111213181422[[#This Row],[  5-11]]-Table3410112[[#This Row],[  5-11]]</f>
        <v>16188</v>
      </c>
      <c r="E41" s="5">
        <f>Table3410111213181422[[#This Row],[  12-17]]-Table3410112[[#This Row],[  12-17]]</f>
        <v>3523</v>
      </c>
      <c r="F41" s="5">
        <f>Table3410111213181422[[#This Row],[  18-24]]-Table3410112[[#This Row],[  18-24]]</f>
        <v>214</v>
      </c>
      <c r="G41" s="5">
        <f>Table3410111213181422[[#This Row],[  25-29 ]]-Table3410112[[#This Row],[  25-29 ]]</f>
        <v>2767</v>
      </c>
      <c r="H41" s="5">
        <f>Table3410111213181422[[#This Row],[  30-34]]-Table3410112[[#This Row],[  30-34]]</f>
        <v>2638</v>
      </c>
      <c r="I41" s="5">
        <f>Table3410111213181422[[#This Row],[  35-39]]-Table3410112[[#This Row],[  35-39]]</f>
        <v>1882</v>
      </c>
      <c r="J41" s="5">
        <f>Table3410111213181422[[#This Row],[  40-44]]-Table3410112[[#This Row],[  40-44]]</f>
        <v>1507</v>
      </c>
      <c r="K41" s="5">
        <f>Table3410111213181422[[#This Row],[  45-49 ]]-Table3410112[[#This Row],[  45-49 ]]</f>
        <v>1912</v>
      </c>
      <c r="L41" s="5">
        <f>Table3410111213181422[[#This Row],[  50-54]]-Table3410112[[#This Row],[  50-54]]</f>
        <v>1356</v>
      </c>
      <c r="M41" s="5">
        <f>Table3410111213181422[[#This Row],[  55-59]]-Table3410112[[#This Row],[  55-59]]</f>
        <v>1852</v>
      </c>
      <c r="N41" s="5">
        <f>Table3410111213181422[[#This Row],[  60-64]]-Table3410112[[#This Row],[  60-64]]</f>
        <v>991</v>
      </c>
      <c r="O41" s="5">
        <f>Table3410111213181422[[#This Row],[  65-69]]-Table3410112[[#This Row],[  65-69]]</f>
        <v>502</v>
      </c>
      <c r="P41" s="5">
        <f>Table3410111213181422[[#This Row],[  70-74]]-Table3410112[[#This Row],[  70-74]]</f>
        <v>674</v>
      </c>
      <c r="Q41" s="5">
        <f>Table3410111213181422[[#This Row],[  75-79]]-Table3410112[[#This Row],[  75-79]]</f>
        <v>-301</v>
      </c>
      <c r="R41" s="5">
        <f>Table3410111213181422[[#This Row],[  80-84]]-Table3410112[[#This Row],[  80-84]]</f>
        <v>150</v>
      </c>
      <c r="S41" s="5">
        <f>Table3410111213181422[[#This Row],[  85-89]]-Table3410112[[#This Row],[  85-89]]</f>
        <v>75</v>
      </c>
      <c r="T41" s="5">
        <f>Table3410111213181422[[#This Row],[  90+]]-Table3410112[[#This Row],[  90+]]</f>
        <v>86</v>
      </c>
    </row>
    <row r="42" spans="1:20" x14ac:dyDescent="0.2">
      <c r="A42" s="9" t="s">
        <v>14</v>
      </c>
      <c r="B42" s="6" t="s">
        <v>0</v>
      </c>
      <c r="C42" s="5">
        <f>Table3410111213181422[[#This Row],[Total]]-Table3410112[[#This Row],[Total]]</f>
        <v>18496</v>
      </c>
      <c r="D42" s="5">
        <f>Table3410111213181422[[#This Row],[  5-11]]-Table3410112[[#This Row],[  5-11]]</f>
        <v>8366</v>
      </c>
      <c r="E42" s="5">
        <f>Table3410111213181422[[#This Row],[  12-17]]-Table3410112[[#This Row],[  12-17]]</f>
        <v>1836</v>
      </c>
      <c r="F42" s="5">
        <f>Table3410111213181422[[#This Row],[  18-24]]-Table3410112[[#This Row],[  18-24]]</f>
        <v>283</v>
      </c>
      <c r="G42" s="5">
        <f>Table3410111213181422[[#This Row],[  25-29 ]]-Table3410112[[#This Row],[  25-29 ]]</f>
        <v>1418</v>
      </c>
      <c r="H42" s="5">
        <f>Table3410111213181422[[#This Row],[  30-34]]-Table3410112[[#This Row],[  30-34]]</f>
        <v>1212</v>
      </c>
      <c r="I42" s="5">
        <f>Table3410111213181422[[#This Row],[  35-39]]-Table3410112[[#This Row],[  35-39]]</f>
        <v>938</v>
      </c>
      <c r="J42" s="5">
        <f>Table3410111213181422[[#This Row],[  40-44]]-Table3410112[[#This Row],[  40-44]]</f>
        <v>829</v>
      </c>
      <c r="K42" s="5">
        <f>Table3410111213181422[[#This Row],[  45-49 ]]-Table3410112[[#This Row],[  45-49 ]]</f>
        <v>974</v>
      </c>
      <c r="L42" s="5">
        <f>Table3410111213181422[[#This Row],[  50-54]]-Table3410112[[#This Row],[  50-54]]</f>
        <v>643</v>
      </c>
      <c r="M42" s="5">
        <f>Table3410111213181422[[#This Row],[  55-59]]-Table3410112[[#This Row],[  55-59]]</f>
        <v>987</v>
      </c>
      <c r="N42" s="5">
        <f>Table3410111213181422[[#This Row],[  60-64]]-Table3410112[[#This Row],[  60-64]]</f>
        <v>547</v>
      </c>
      <c r="O42" s="5">
        <f>Table3410111213181422[[#This Row],[  65-69]]-Table3410112[[#This Row],[  65-69]]</f>
        <v>220</v>
      </c>
      <c r="P42" s="5">
        <f>Table3410111213181422[[#This Row],[  70-74]]-Table3410112[[#This Row],[  70-74]]</f>
        <v>299</v>
      </c>
      <c r="Q42" s="5">
        <f>Table3410111213181422[[#This Row],[  75-79]]-Table3410112[[#This Row],[  75-79]]</f>
        <v>-149</v>
      </c>
      <c r="R42" s="5">
        <f>Table3410111213181422[[#This Row],[  80-84]]-Table3410112[[#This Row],[  80-84]]</f>
        <v>82</v>
      </c>
      <c r="S42" s="5">
        <f>Table3410111213181422[[#This Row],[  85-89]]-Table3410112[[#This Row],[  85-89]]</f>
        <v>-1</v>
      </c>
      <c r="T42" s="5">
        <f>Table3410111213181422[[#This Row],[  90+]]-Table3410112[[#This Row],[  90+]]</f>
        <v>12</v>
      </c>
    </row>
    <row r="43" spans="1:20" x14ac:dyDescent="0.2">
      <c r="A43" s="9" t="s">
        <v>14</v>
      </c>
      <c r="B43" s="6" t="s">
        <v>23</v>
      </c>
      <c r="C43" s="5">
        <f>Table3410111213181422[[#This Row],[Total]]-Table3410112[[#This Row],[Total]]</f>
        <v>17520</v>
      </c>
      <c r="D43" s="5">
        <f>Table3410111213181422[[#This Row],[  5-11]]-Table3410112[[#This Row],[  5-11]]</f>
        <v>7822</v>
      </c>
      <c r="E43" s="5">
        <f>Table3410111213181422[[#This Row],[  12-17]]-Table3410112[[#This Row],[  12-17]]</f>
        <v>1687</v>
      </c>
      <c r="F43" s="5">
        <f>Table3410111213181422[[#This Row],[  18-24]]-Table3410112[[#This Row],[  18-24]]</f>
        <v>-69</v>
      </c>
      <c r="G43" s="5">
        <f>Table3410111213181422[[#This Row],[  25-29 ]]-Table3410112[[#This Row],[  25-29 ]]</f>
        <v>1349</v>
      </c>
      <c r="H43" s="5">
        <f>Table3410111213181422[[#This Row],[  30-34]]-Table3410112[[#This Row],[  30-34]]</f>
        <v>1426</v>
      </c>
      <c r="I43" s="5">
        <f>Table3410111213181422[[#This Row],[  35-39]]-Table3410112[[#This Row],[  35-39]]</f>
        <v>944</v>
      </c>
      <c r="J43" s="5">
        <f>Table3410111213181422[[#This Row],[  40-44]]-Table3410112[[#This Row],[  40-44]]</f>
        <v>678</v>
      </c>
      <c r="K43" s="5">
        <f>Table3410111213181422[[#This Row],[  45-49 ]]-Table3410112[[#This Row],[  45-49 ]]</f>
        <v>938</v>
      </c>
      <c r="L43" s="5">
        <f>Table3410111213181422[[#This Row],[  50-54]]-Table3410112[[#This Row],[  50-54]]</f>
        <v>713</v>
      </c>
      <c r="M43" s="5">
        <f>Table3410111213181422[[#This Row],[  55-59]]-Table3410112[[#This Row],[  55-59]]</f>
        <v>865</v>
      </c>
      <c r="N43" s="5">
        <f>Table3410111213181422[[#This Row],[  60-64]]-Table3410112[[#This Row],[  60-64]]</f>
        <v>444</v>
      </c>
      <c r="O43" s="5">
        <f>Table3410111213181422[[#This Row],[  65-69]]-Table3410112[[#This Row],[  65-69]]</f>
        <v>282</v>
      </c>
      <c r="P43" s="5">
        <f>Table3410111213181422[[#This Row],[  70-74]]-Table3410112[[#This Row],[  70-74]]</f>
        <v>375</v>
      </c>
      <c r="Q43" s="5">
        <f>Table3410111213181422[[#This Row],[  75-79]]-Table3410112[[#This Row],[  75-79]]</f>
        <v>-152</v>
      </c>
      <c r="R43" s="5">
        <f>Table3410111213181422[[#This Row],[  80-84]]-Table3410112[[#This Row],[  80-84]]</f>
        <v>68</v>
      </c>
      <c r="S43" s="5">
        <f>Table3410111213181422[[#This Row],[  85-89]]-Table3410112[[#This Row],[  85-89]]</f>
        <v>76</v>
      </c>
      <c r="T43" s="5">
        <f>Table3410111213181422[[#This Row],[  90+]]-Table3410112[[#This Row],[  90+]]</f>
        <v>74</v>
      </c>
    </row>
    <row r="44" spans="1:20" x14ac:dyDescent="0.2">
      <c r="A44" s="9" t="s">
        <v>15</v>
      </c>
      <c r="B44" s="6" t="s">
        <v>22</v>
      </c>
      <c r="C44" s="5">
        <f>Table3410111213181422[[#This Row],[Total]]-Table3410112[[#This Row],[Total]]</f>
        <v>3719</v>
      </c>
      <c r="D44" s="5">
        <f>Table3410111213181422[[#This Row],[  5-11]]-Table3410112[[#This Row],[  5-11]]</f>
        <v>1355</v>
      </c>
      <c r="E44" s="5">
        <f>Table3410111213181422[[#This Row],[  12-17]]-Table3410112[[#This Row],[  12-17]]</f>
        <v>300</v>
      </c>
      <c r="F44" s="5">
        <f>Table3410111213181422[[#This Row],[  18-24]]-Table3410112[[#This Row],[  18-24]]</f>
        <v>203</v>
      </c>
      <c r="G44" s="5">
        <f>Table3410111213181422[[#This Row],[  25-29 ]]-Table3410112[[#This Row],[  25-29 ]]</f>
        <v>282</v>
      </c>
      <c r="H44" s="5">
        <f>Table3410111213181422[[#This Row],[  30-34]]-Table3410112[[#This Row],[  30-34]]</f>
        <v>194</v>
      </c>
      <c r="I44" s="5">
        <f>Table3410111213181422[[#This Row],[  35-39]]-Table3410112[[#This Row],[  35-39]]</f>
        <v>193</v>
      </c>
      <c r="J44" s="5">
        <f>Table3410111213181422[[#This Row],[  40-44]]-Table3410112[[#This Row],[  40-44]]</f>
        <v>232</v>
      </c>
      <c r="K44" s="5">
        <f>Table3410111213181422[[#This Row],[  45-49 ]]-Table3410112[[#This Row],[  45-49 ]]</f>
        <v>174</v>
      </c>
      <c r="L44" s="5">
        <f>Table3410111213181422[[#This Row],[  50-54]]-Table3410112[[#This Row],[  50-54]]</f>
        <v>187</v>
      </c>
      <c r="M44" s="5">
        <f>Table3410111213181422[[#This Row],[  55-59]]-Table3410112[[#This Row],[  55-59]]</f>
        <v>183</v>
      </c>
      <c r="N44" s="5">
        <f>Table3410111213181422[[#This Row],[  60-64]]-Table3410112[[#This Row],[  60-64]]</f>
        <v>140</v>
      </c>
      <c r="O44" s="5">
        <f>Table3410111213181422[[#This Row],[  65-69]]-Table3410112[[#This Row],[  65-69]]</f>
        <v>181</v>
      </c>
      <c r="P44" s="5">
        <f>Table3410111213181422[[#This Row],[  70-74]]-Table3410112[[#This Row],[  70-74]]</f>
        <v>84</v>
      </c>
      <c r="Q44" s="5">
        <f>Table3410111213181422[[#This Row],[  75-79]]-Table3410112[[#This Row],[  75-79]]</f>
        <v>-20</v>
      </c>
      <c r="R44" s="5">
        <f>Table3410111213181422[[#This Row],[  80-84]]-Table3410112[[#This Row],[  80-84]]</f>
        <v>17</v>
      </c>
      <c r="S44" s="5">
        <f>Table3410111213181422[[#This Row],[  85-89]]-Table3410112[[#This Row],[  85-89]]</f>
        <v>3</v>
      </c>
      <c r="T44" s="5">
        <f>Table3410111213181422[[#This Row],[  90+]]-Table3410112[[#This Row],[  90+]]</f>
        <v>11</v>
      </c>
    </row>
    <row r="45" spans="1:20" x14ac:dyDescent="0.2">
      <c r="A45" s="9" t="s">
        <v>15</v>
      </c>
      <c r="B45" s="6" t="s">
        <v>0</v>
      </c>
      <c r="C45" s="5">
        <f>Table3410111213181422[[#This Row],[Total]]-Table3410112[[#This Row],[Total]]</f>
        <v>1940</v>
      </c>
      <c r="D45" s="5">
        <f>Table3410111213181422[[#This Row],[  5-11]]-Table3410112[[#This Row],[  5-11]]</f>
        <v>704</v>
      </c>
      <c r="E45" s="5">
        <f>Table3410111213181422[[#This Row],[  12-17]]-Table3410112[[#This Row],[  12-17]]</f>
        <v>167</v>
      </c>
      <c r="F45" s="5">
        <f>Table3410111213181422[[#This Row],[  18-24]]-Table3410112[[#This Row],[  18-24]]</f>
        <v>138</v>
      </c>
      <c r="G45" s="5">
        <f>Table3410111213181422[[#This Row],[  25-29 ]]-Table3410112[[#This Row],[  25-29 ]]</f>
        <v>148</v>
      </c>
      <c r="H45" s="5">
        <f>Table3410111213181422[[#This Row],[  30-34]]-Table3410112[[#This Row],[  30-34]]</f>
        <v>83</v>
      </c>
      <c r="I45" s="5">
        <f>Table3410111213181422[[#This Row],[  35-39]]-Table3410112[[#This Row],[  35-39]]</f>
        <v>60</v>
      </c>
      <c r="J45" s="5">
        <f>Table3410111213181422[[#This Row],[  40-44]]-Table3410112[[#This Row],[  40-44]]</f>
        <v>138</v>
      </c>
      <c r="K45" s="5">
        <f>Table3410111213181422[[#This Row],[  45-49 ]]-Table3410112[[#This Row],[  45-49 ]]</f>
        <v>103</v>
      </c>
      <c r="L45" s="5">
        <f>Table3410111213181422[[#This Row],[  50-54]]-Table3410112[[#This Row],[  50-54]]</f>
        <v>88</v>
      </c>
      <c r="M45" s="5">
        <f>Table3410111213181422[[#This Row],[  55-59]]-Table3410112[[#This Row],[  55-59]]</f>
        <v>115</v>
      </c>
      <c r="N45" s="5">
        <f>Table3410111213181422[[#This Row],[  60-64]]-Table3410112[[#This Row],[  60-64]]</f>
        <v>58</v>
      </c>
      <c r="O45" s="5">
        <f>Table3410111213181422[[#This Row],[  65-69]]-Table3410112[[#This Row],[  65-69]]</f>
        <v>114</v>
      </c>
      <c r="P45" s="5">
        <f>Table3410111213181422[[#This Row],[  70-74]]-Table3410112[[#This Row],[  70-74]]</f>
        <v>44</v>
      </c>
      <c r="Q45" s="5">
        <f>Table3410111213181422[[#This Row],[  75-79]]-Table3410112[[#This Row],[  75-79]]</f>
        <v>-19</v>
      </c>
      <c r="R45" s="5">
        <f>Table3410111213181422[[#This Row],[  80-84]]-Table3410112[[#This Row],[  80-84]]</f>
        <v>-8</v>
      </c>
      <c r="S45" s="5">
        <f>Table3410111213181422[[#This Row],[  85-89]]-Table3410112[[#This Row],[  85-89]]</f>
        <v>9</v>
      </c>
      <c r="T45" s="5">
        <f>Table3410111213181422[[#This Row],[  90+]]-Table3410112[[#This Row],[  90+]]</f>
        <v>-2</v>
      </c>
    </row>
    <row r="46" spans="1:20" x14ac:dyDescent="0.2">
      <c r="A46" s="9" t="s">
        <v>15</v>
      </c>
      <c r="B46" s="6" t="s">
        <v>23</v>
      </c>
      <c r="C46" s="5">
        <f>Table3410111213181422[[#This Row],[Total]]-Table3410112[[#This Row],[Total]]</f>
        <v>1779</v>
      </c>
      <c r="D46" s="5">
        <f>Table3410111213181422[[#This Row],[  5-11]]-Table3410112[[#This Row],[  5-11]]</f>
        <v>651</v>
      </c>
      <c r="E46" s="5">
        <f>Table3410111213181422[[#This Row],[  12-17]]-Table3410112[[#This Row],[  12-17]]</f>
        <v>133</v>
      </c>
      <c r="F46" s="5">
        <f>Table3410111213181422[[#This Row],[  18-24]]-Table3410112[[#This Row],[  18-24]]</f>
        <v>65</v>
      </c>
      <c r="G46" s="5">
        <f>Table3410111213181422[[#This Row],[  25-29 ]]-Table3410112[[#This Row],[  25-29 ]]</f>
        <v>134</v>
      </c>
      <c r="H46" s="5">
        <f>Table3410111213181422[[#This Row],[  30-34]]-Table3410112[[#This Row],[  30-34]]</f>
        <v>111</v>
      </c>
      <c r="I46" s="5">
        <f>Table3410111213181422[[#This Row],[  35-39]]-Table3410112[[#This Row],[  35-39]]</f>
        <v>133</v>
      </c>
      <c r="J46" s="5">
        <f>Table3410111213181422[[#This Row],[  40-44]]-Table3410112[[#This Row],[  40-44]]</f>
        <v>94</v>
      </c>
      <c r="K46" s="5">
        <f>Table3410111213181422[[#This Row],[  45-49 ]]-Table3410112[[#This Row],[  45-49 ]]</f>
        <v>71</v>
      </c>
      <c r="L46" s="5">
        <f>Table3410111213181422[[#This Row],[  50-54]]-Table3410112[[#This Row],[  50-54]]</f>
        <v>99</v>
      </c>
      <c r="M46" s="5">
        <f>Table3410111213181422[[#This Row],[  55-59]]-Table3410112[[#This Row],[  55-59]]</f>
        <v>68</v>
      </c>
      <c r="N46" s="5">
        <f>Table3410111213181422[[#This Row],[  60-64]]-Table3410112[[#This Row],[  60-64]]</f>
        <v>82</v>
      </c>
      <c r="O46" s="5">
        <f>Table3410111213181422[[#This Row],[  65-69]]-Table3410112[[#This Row],[  65-69]]</f>
        <v>67</v>
      </c>
      <c r="P46" s="5">
        <f>Table3410111213181422[[#This Row],[  70-74]]-Table3410112[[#This Row],[  70-74]]</f>
        <v>40</v>
      </c>
      <c r="Q46" s="5">
        <f>Table3410111213181422[[#This Row],[  75-79]]-Table3410112[[#This Row],[  75-79]]</f>
        <v>-1</v>
      </c>
      <c r="R46" s="5">
        <f>Table3410111213181422[[#This Row],[  80-84]]-Table3410112[[#This Row],[  80-84]]</f>
        <v>25</v>
      </c>
      <c r="S46" s="5">
        <f>Table3410111213181422[[#This Row],[  85-89]]-Table3410112[[#This Row],[  85-89]]</f>
        <v>-6</v>
      </c>
      <c r="T46" s="5">
        <f>Table3410111213181422[[#This Row],[  90+]]-Table3410112[[#This Row],[  90+]]</f>
        <v>13</v>
      </c>
    </row>
    <row r="47" spans="1:20" x14ac:dyDescent="0.2">
      <c r="A47" s="9" t="s">
        <v>16</v>
      </c>
      <c r="B47" s="6" t="s">
        <v>22</v>
      </c>
      <c r="C47" s="5">
        <f>Table3410111213181422[[#This Row],[Total]]-Table3410112[[#This Row],[Total]]</f>
        <v>14970</v>
      </c>
      <c r="D47" s="5">
        <f>Table3410111213181422[[#This Row],[  5-11]]-Table3410112[[#This Row],[  5-11]]</f>
        <v>6324</v>
      </c>
      <c r="E47" s="5">
        <f>Table3410111213181422[[#This Row],[  12-17]]-Table3410112[[#This Row],[  12-17]]</f>
        <v>1380</v>
      </c>
      <c r="F47" s="5">
        <f>Table3410111213181422[[#This Row],[  18-24]]-Table3410112[[#This Row],[  18-24]]</f>
        <v>849</v>
      </c>
      <c r="G47" s="5">
        <f>Table3410111213181422[[#This Row],[  25-29 ]]-Table3410112[[#This Row],[  25-29 ]]</f>
        <v>909</v>
      </c>
      <c r="H47" s="5">
        <f>Table3410111213181422[[#This Row],[  30-34]]-Table3410112[[#This Row],[  30-34]]</f>
        <v>974</v>
      </c>
      <c r="I47" s="5">
        <f>Table3410111213181422[[#This Row],[  35-39]]-Table3410112[[#This Row],[  35-39]]</f>
        <v>721</v>
      </c>
      <c r="J47" s="5">
        <f>Table3410111213181422[[#This Row],[  40-44]]-Table3410112[[#This Row],[  40-44]]</f>
        <v>730</v>
      </c>
      <c r="K47" s="5">
        <f>Table3410111213181422[[#This Row],[  45-49 ]]-Table3410112[[#This Row],[  45-49 ]]</f>
        <v>819</v>
      </c>
      <c r="L47" s="5">
        <f>Table3410111213181422[[#This Row],[  50-54]]-Table3410112[[#This Row],[  50-54]]</f>
        <v>591</v>
      </c>
      <c r="M47" s="5">
        <f>Table3410111213181422[[#This Row],[  55-59]]-Table3410112[[#This Row],[  55-59]]</f>
        <v>717</v>
      </c>
      <c r="N47" s="5">
        <f>Table3410111213181422[[#This Row],[  60-64]]-Table3410112[[#This Row],[  60-64]]</f>
        <v>407</v>
      </c>
      <c r="O47" s="5">
        <f>Table3410111213181422[[#This Row],[  65-69]]-Table3410112[[#This Row],[  65-69]]</f>
        <v>293</v>
      </c>
      <c r="P47" s="5">
        <f>Table3410111213181422[[#This Row],[  70-74]]-Table3410112[[#This Row],[  70-74]]</f>
        <v>263</v>
      </c>
      <c r="Q47" s="5">
        <f>Table3410111213181422[[#This Row],[  75-79]]-Table3410112[[#This Row],[  75-79]]</f>
        <v>-87</v>
      </c>
      <c r="R47" s="5">
        <f>Table3410111213181422[[#This Row],[  80-84]]-Table3410112[[#This Row],[  80-84]]</f>
        <v>-14</v>
      </c>
      <c r="S47" s="5">
        <f>Table3410111213181422[[#This Row],[  85-89]]-Table3410112[[#This Row],[  85-89]]</f>
        <v>64</v>
      </c>
      <c r="T47" s="5">
        <f>Table3410111213181422[[#This Row],[  90+]]-Table3410112[[#This Row],[  90+]]</f>
        <v>30</v>
      </c>
    </row>
    <row r="48" spans="1:20" x14ac:dyDescent="0.2">
      <c r="A48" s="9" t="s">
        <v>16</v>
      </c>
      <c r="B48" s="6" t="s">
        <v>0</v>
      </c>
      <c r="C48" s="5">
        <f>Table3410111213181422[[#This Row],[Total]]-Table3410112[[#This Row],[Total]]</f>
        <v>7670</v>
      </c>
      <c r="D48" s="5">
        <f>Table3410111213181422[[#This Row],[  5-11]]-Table3410112[[#This Row],[  5-11]]</f>
        <v>3243</v>
      </c>
      <c r="E48" s="5">
        <f>Table3410111213181422[[#This Row],[  12-17]]-Table3410112[[#This Row],[  12-17]]</f>
        <v>754</v>
      </c>
      <c r="F48" s="5">
        <f>Table3410111213181422[[#This Row],[  18-24]]-Table3410112[[#This Row],[  18-24]]</f>
        <v>473</v>
      </c>
      <c r="G48" s="5">
        <f>Table3410111213181422[[#This Row],[  25-29 ]]-Table3410112[[#This Row],[  25-29 ]]</f>
        <v>411</v>
      </c>
      <c r="H48" s="5">
        <f>Table3410111213181422[[#This Row],[  30-34]]-Table3410112[[#This Row],[  30-34]]</f>
        <v>473</v>
      </c>
      <c r="I48" s="5">
        <f>Table3410111213181422[[#This Row],[  35-39]]-Table3410112[[#This Row],[  35-39]]</f>
        <v>380</v>
      </c>
      <c r="J48" s="5">
        <f>Table3410111213181422[[#This Row],[  40-44]]-Table3410112[[#This Row],[  40-44]]</f>
        <v>334</v>
      </c>
      <c r="K48" s="5">
        <f>Table3410111213181422[[#This Row],[  45-49 ]]-Table3410112[[#This Row],[  45-49 ]]</f>
        <v>446</v>
      </c>
      <c r="L48" s="5">
        <f>Table3410111213181422[[#This Row],[  50-54]]-Table3410112[[#This Row],[  50-54]]</f>
        <v>306</v>
      </c>
      <c r="M48" s="5">
        <f>Table3410111213181422[[#This Row],[  55-59]]-Table3410112[[#This Row],[  55-59]]</f>
        <v>367</v>
      </c>
      <c r="N48" s="5">
        <f>Table3410111213181422[[#This Row],[  60-64]]-Table3410112[[#This Row],[  60-64]]</f>
        <v>201</v>
      </c>
      <c r="O48" s="5">
        <f>Table3410111213181422[[#This Row],[  65-69]]-Table3410112[[#This Row],[  65-69]]</f>
        <v>194</v>
      </c>
      <c r="P48" s="5">
        <f>Table3410111213181422[[#This Row],[  70-74]]-Table3410112[[#This Row],[  70-74]]</f>
        <v>106</v>
      </c>
      <c r="Q48" s="5">
        <f>Table3410111213181422[[#This Row],[  75-79]]-Table3410112[[#This Row],[  75-79]]</f>
        <v>-12</v>
      </c>
      <c r="R48" s="5">
        <f>Table3410111213181422[[#This Row],[  80-84]]-Table3410112[[#This Row],[  80-84]]</f>
        <v>-18</v>
      </c>
      <c r="S48" s="5">
        <f>Table3410111213181422[[#This Row],[  85-89]]-Table3410112[[#This Row],[  85-89]]</f>
        <v>5</v>
      </c>
      <c r="T48" s="5">
        <f>Table3410111213181422[[#This Row],[  90+]]-Table3410112[[#This Row],[  90+]]</f>
        <v>7</v>
      </c>
    </row>
    <row r="49" spans="1:20" x14ac:dyDescent="0.2">
      <c r="A49" s="9" t="s">
        <v>16</v>
      </c>
      <c r="B49" s="6" t="s">
        <v>23</v>
      </c>
      <c r="C49" s="5">
        <f>Table3410111213181422[[#This Row],[Total]]-Table3410112[[#This Row],[Total]]</f>
        <v>7300</v>
      </c>
      <c r="D49" s="5">
        <f>Table3410111213181422[[#This Row],[  5-11]]-Table3410112[[#This Row],[  5-11]]</f>
        <v>3081</v>
      </c>
      <c r="E49" s="5">
        <f>Table3410111213181422[[#This Row],[  12-17]]-Table3410112[[#This Row],[  12-17]]</f>
        <v>626</v>
      </c>
      <c r="F49" s="5">
        <f>Table3410111213181422[[#This Row],[  18-24]]-Table3410112[[#This Row],[  18-24]]</f>
        <v>376</v>
      </c>
      <c r="G49" s="5">
        <f>Table3410111213181422[[#This Row],[  25-29 ]]-Table3410112[[#This Row],[  25-29 ]]</f>
        <v>498</v>
      </c>
      <c r="H49" s="5">
        <f>Table3410111213181422[[#This Row],[  30-34]]-Table3410112[[#This Row],[  30-34]]</f>
        <v>501</v>
      </c>
      <c r="I49" s="5">
        <f>Table3410111213181422[[#This Row],[  35-39]]-Table3410112[[#This Row],[  35-39]]</f>
        <v>341</v>
      </c>
      <c r="J49" s="5">
        <f>Table3410111213181422[[#This Row],[  40-44]]-Table3410112[[#This Row],[  40-44]]</f>
        <v>396</v>
      </c>
      <c r="K49" s="5">
        <f>Table3410111213181422[[#This Row],[  45-49 ]]-Table3410112[[#This Row],[  45-49 ]]</f>
        <v>373</v>
      </c>
      <c r="L49" s="5">
        <f>Table3410111213181422[[#This Row],[  50-54]]-Table3410112[[#This Row],[  50-54]]</f>
        <v>285</v>
      </c>
      <c r="M49" s="5">
        <f>Table3410111213181422[[#This Row],[  55-59]]-Table3410112[[#This Row],[  55-59]]</f>
        <v>350</v>
      </c>
      <c r="N49" s="5">
        <f>Table3410111213181422[[#This Row],[  60-64]]-Table3410112[[#This Row],[  60-64]]</f>
        <v>206</v>
      </c>
      <c r="O49" s="5">
        <f>Table3410111213181422[[#This Row],[  65-69]]-Table3410112[[#This Row],[  65-69]]</f>
        <v>99</v>
      </c>
      <c r="P49" s="5">
        <f>Table3410111213181422[[#This Row],[  70-74]]-Table3410112[[#This Row],[  70-74]]</f>
        <v>157</v>
      </c>
      <c r="Q49" s="5">
        <f>Table3410111213181422[[#This Row],[  75-79]]-Table3410112[[#This Row],[  75-79]]</f>
        <v>-75</v>
      </c>
      <c r="R49" s="5">
        <f>Table3410111213181422[[#This Row],[  80-84]]-Table3410112[[#This Row],[  80-84]]</f>
        <v>4</v>
      </c>
      <c r="S49" s="5">
        <f>Table3410111213181422[[#This Row],[  85-89]]-Table3410112[[#This Row],[  85-89]]</f>
        <v>59</v>
      </c>
      <c r="T49" s="5">
        <f>Table3410111213181422[[#This Row],[  90+]]-Table3410112[[#This Row],[  90+]]</f>
        <v>23</v>
      </c>
    </row>
    <row r="50" spans="1:20" x14ac:dyDescent="0.2">
      <c r="A50" s="11" t="s">
        <v>17</v>
      </c>
      <c r="B50" s="6" t="s">
        <v>22</v>
      </c>
      <c r="C50" s="5">
        <f>Table3410111213181422[[#This Row],[Total]]-Table3410112[[#This Row],[Total]]</f>
        <v>50199</v>
      </c>
      <c r="D50" s="5">
        <f>Table3410111213181422[[#This Row],[  5-11]]-Table3410112[[#This Row],[  5-11]]</f>
        <v>21209</v>
      </c>
      <c r="E50" s="5">
        <f>Table3410111213181422[[#This Row],[  12-17]]-Table3410112[[#This Row],[  12-17]]</f>
        <v>4651</v>
      </c>
      <c r="F50" s="5">
        <f>Table3410111213181422[[#This Row],[  18-24]]-Table3410112[[#This Row],[  18-24]]</f>
        <v>2989</v>
      </c>
      <c r="G50" s="5">
        <f>Table3410111213181422[[#This Row],[  25-29 ]]-Table3410112[[#This Row],[  25-29 ]]</f>
        <v>3530</v>
      </c>
      <c r="H50" s="5">
        <f>Table3410111213181422[[#This Row],[  30-34]]-Table3410112[[#This Row],[  30-34]]</f>
        <v>2626</v>
      </c>
      <c r="I50" s="5">
        <f>Table3410111213181422[[#This Row],[  35-39]]-Table3410112[[#This Row],[  35-39]]</f>
        <v>2231</v>
      </c>
      <c r="J50" s="5">
        <f>Table3410111213181422[[#This Row],[  40-44]]-Table3410112[[#This Row],[  40-44]]</f>
        <v>1880</v>
      </c>
      <c r="K50" s="5">
        <f>Table3410111213181422[[#This Row],[  45-49 ]]-Table3410112[[#This Row],[  45-49 ]]</f>
        <v>2496</v>
      </c>
      <c r="L50" s="5">
        <f>Table3410111213181422[[#This Row],[  50-54]]-Table3410112[[#This Row],[  50-54]]</f>
        <v>2074</v>
      </c>
      <c r="M50" s="5">
        <f>Table3410111213181422[[#This Row],[  55-59]]-Table3410112[[#This Row],[  55-59]]</f>
        <v>2052</v>
      </c>
      <c r="N50" s="5">
        <f>Table3410111213181422[[#This Row],[  60-64]]-Table3410112[[#This Row],[  60-64]]</f>
        <v>1660</v>
      </c>
      <c r="O50" s="5">
        <f>Table3410111213181422[[#This Row],[  65-69]]-Table3410112[[#This Row],[  65-69]]</f>
        <v>1268</v>
      </c>
      <c r="P50" s="5">
        <f>Table3410111213181422[[#This Row],[  70-74]]-Table3410112[[#This Row],[  70-74]]</f>
        <v>1139</v>
      </c>
      <c r="Q50" s="5">
        <f>Table3410111213181422[[#This Row],[  75-79]]-Table3410112[[#This Row],[  75-79]]</f>
        <v>8</v>
      </c>
      <c r="R50" s="5">
        <f>Table3410111213181422[[#This Row],[  80-84]]-Table3410112[[#This Row],[  80-84]]</f>
        <v>147</v>
      </c>
      <c r="S50" s="5">
        <f>Table3410111213181422[[#This Row],[  85-89]]-Table3410112[[#This Row],[  85-89]]</f>
        <v>95</v>
      </c>
      <c r="T50" s="5">
        <f>Table3410111213181422[[#This Row],[  90+]]-Table3410112[[#This Row],[  90+]]</f>
        <v>144</v>
      </c>
    </row>
    <row r="51" spans="1:20" x14ac:dyDescent="0.2">
      <c r="A51" s="11" t="s">
        <v>17</v>
      </c>
      <c r="B51" s="6" t="s">
        <v>0</v>
      </c>
      <c r="C51" s="5">
        <f>Table3410111213181422[[#This Row],[Total]]-Table3410112[[#This Row],[Total]]</f>
        <v>25646</v>
      </c>
      <c r="D51" s="5">
        <f>Table3410111213181422[[#This Row],[  5-11]]-Table3410112[[#This Row],[  5-11]]</f>
        <v>10956</v>
      </c>
      <c r="E51" s="5">
        <f>Table3410111213181422[[#This Row],[  12-17]]-Table3410112[[#This Row],[  12-17]]</f>
        <v>2358</v>
      </c>
      <c r="F51" s="5">
        <f>Table3410111213181422[[#This Row],[  18-24]]-Table3410112[[#This Row],[  18-24]]</f>
        <v>1609</v>
      </c>
      <c r="G51" s="5">
        <f>Table3410111213181422[[#This Row],[  25-29 ]]-Table3410112[[#This Row],[  25-29 ]]</f>
        <v>1853</v>
      </c>
      <c r="H51" s="5">
        <f>Table3410111213181422[[#This Row],[  30-34]]-Table3410112[[#This Row],[  30-34]]</f>
        <v>1301</v>
      </c>
      <c r="I51" s="5">
        <f>Table3410111213181422[[#This Row],[  35-39]]-Table3410112[[#This Row],[  35-39]]</f>
        <v>1041</v>
      </c>
      <c r="J51" s="5">
        <f>Table3410111213181422[[#This Row],[  40-44]]-Table3410112[[#This Row],[  40-44]]</f>
        <v>1045</v>
      </c>
      <c r="K51" s="5">
        <f>Table3410111213181422[[#This Row],[  45-49 ]]-Table3410112[[#This Row],[  45-49 ]]</f>
        <v>1250</v>
      </c>
      <c r="L51" s="5">
        <f>Table3410111213181422[[#This Row],[  50-54]]-Table3410112[[#This Row],[  50-54]]</f>
        <v>1039</v>
      </c>
      <c r="M51" s="5">
        <f>Table3410111213181422[[#This Row],[  55-59]]-Table3410112[[#This Row],[  55-59]]</f>
        <v>981</v>
      </c>
      <c r="N51" s="5">
        <f>Table3410111213181422[[#This Row],[  60-64]]-Table3410112[[#This Row],[  60-64]]</f>
        <v>843</v>
      </c>
      <c r="O51" s="5">
        <f>Table3410111213181422[[#This Row],[  65-69]]-Table3410112[[#This Row],[  65-69]]</f>
        <v>662</v>
      </c>
      <c r="P51" s="5">
        <f>Table3410111213181422[[#This Row],[  70-74]]-Table3410112[[#This Row],[  70-74]]</f>
        <v>640</v>
      </c>
      <c r="Q51" s="5">
        <f>Table3410111213181422[[#This Row],[  75-79]]-Table3410112[[#This Row],[  75-79]]</f>
        <v>-101</v>
      </c>
      <c r="R51" s="5">
        <f>Table3410111213181422[[#This Row],[  80-84]]-Table3410112[[#This Row],[  80-84]]</f>
        <v>59</v>
      </c>
      <c r="S51" s="5">
        <f>Table3410111213181422[[#This Row],[  85-89]]-Table3410112[[#This Row],[  85-89]]</f>
        <v>70</v>
      </c>
      <c r="T51" s="5">
        <f>Table3410111213181422[[#This Row],[  90+]]-Table3410112[[#This Row],[  90+]]</f>
        <v>40</v>
      </c>
    </row>
    <row r="52" spans="1:20" x14ac:dyDescent="0.2">
      <c r="A52" s="11" t="s">
        <v>17</v>
      </c>
      <c r="B52" s="6" t="s">
        <v>23</v>
      </c>
      <c r="C52" s="5">
        <f>Table3410111213181422[[#This Row],[Total]]-Table3410112[[#This Row],[Total]]</f>
        <v>24553</v>
      </c>
      <c r="D52" s="5">
        <f>Table3410111213181422[[#This Row],[  5-11]]-Table3410112[[#This Row],[  5-11]]</f>
        <v>10253</v>
      </c>
      <c r="E52" s="5">
        <f>Table3410111213181422[[#This Row],[  12-17]]-Table3410112[[#This Row],[  12-17]]</f>
        <v>2293</v>
      </c>
      <c r="F52" s="5">
        <f>Table3410111213181422[[#This Row],[  18-24]]-Table3410112[[#This Row],[  18-24]]</f>
        <v>1380</v>
      </c>
      <c r="G52" s="5">
        <f>Table3410111213181422[[#This Row],[  25-29 ]]-Table3410112[[#This Row],[  25-29 ]]</f>
        <v>1677</v>
      </c>
      <c r="H52" s="5">
        <f>Table3410111213181422[[#This Row],[  30-34]]-Table3410112[[#This Row],[  30-34]]</f>
        <v>1325</v>
      </c>
      <c r="I52" s="5">
        <f>Table3410111213181422[[#This Row],[  35-39]]-Table3410112[[#This Row],[  35-39]]</f>
        <v>1190</v>
      </c>
      <c r="J52" s="5">
        <f>Table3410111213181422[[#This Row],[  40-44]]-Table3410112[[#This Row],[  40-44]]</f>
        <v>835</v>
      </c>
      <c r="K52" s="5">
        <f>Table3410111213181422[[#This Row],[  45-49 ]]-Table3410112[[#This Row],[  45-49 ]]</f>
        <v>1246</v>
      </c>
      <c r="L52" s="5">
        <f>Table3410111213181422[[#This Row],[  50-54]]-Table3410112[[#This Row],[  50-54]]</f>
        <v>1035</v>
      </c>
      <c r="M52" s="5">
        <f>Table3410111213181422[[#This Row],[  55-59]]-Table3410112[[#This Row],[  55-59]]</f>
        <v>1071</v>
      </c>
      <c r="N52" s="5">
        <f>Table3410111213181422[[#This Row],[  60-64]]-Table3410112[[#This Row],[  60-64]]</f>
        <v>817</v>
      </c>
      <c r="O52" s="5">
        <f>Table3410111213181422[[#This Row],[  65-69]]-Table3410112[[#This Row],[  65-69]]</f>
        <v>606</v>
      </c>
      <c r="P52" s="5">
        <f>Table3410111213181422[[#This Row],[  70-74]]-Table3410112[[#This Row],[  70-74]]</f>
        <v>499</v>
      </c>
      <c r="Q52" s="5">
        <f>Table3410111213181422[[#This Row],[  75-79]]-Table3410112[[#This Row],[  75-79]]</f>
        <v>109</v>
      </c>
      <c r="R52" s="5">
        <f>Table3410111213181422[[#This Row],[  80-84]]-Table3410112[[#This Row],[  80-84]]</f>
        <v>88</v>
      </c>
      <c r="S52" s="5">
        <f>Table3410111213181422[[#This Row],[  85-89]]-Table3410112[[#This Row],[  85-89]]</f>
        <v>25</v>
      </c>
      <c r="T52" s="5">
        <f>Table3410111213181422[[#This Row],[  90+]]-Table3410112[[#This Row],[  90+]]</f>
        <v>104</v>
      </c>
    </row>
    <row r="53" spans="1:20" x14ac:dyDescent="0.2">
      <c r="A53" s="9" t="s">
        <v>18</v>
      </c>
      <c r="B53" s="6" t="s">
        <v>22</v>
      </c>
      <c r="C53" s="5">
        <f>Table3410111213181422[[#This Row],[Total]]-Table3410112[[#This Row],[Total]]</f>
        <v>5031</v>
      </c>
      <c r="D53" s="5">
        <f>Table3410111213181422[[#This Row],[  5-11]]-Table3410112[[#This Row],[  5-11]]</f>
        <v>2123</v>
      </c>
      <c r="E53" s="5">
        <f>Table3410111213181422[[#This Row],[  12-17]]-Table3410112[[#This Row],[  12-17]]</f>
        <v>476</v>
      </c>
      <c r="F53" s="5">
        <f>Table3410111213181422[[#This Row],[  18-24]]-Table3410112[[#This Row],[  18-24]]</f>
        <v>248</v>
      </c>
      <c r="G53" s="5">
        <f>Table3410111213181422[[#This Row],[  25-29 ]]-Table3410112[[#This Row],[  25-29 ]]</f>
        <v>341</v>
      </c>
      <c r="H53" s="5">
        <f>Table3410111213181422[[#This Row],[  30-34]]-Table3410112[[#This Row],[  30-34]]</f>
        <v>232</v>
      </c>
      <c r="I53" s="5">
        <f>Table3410111213181422[[#This Row],[  35-39]]-Table3410112[[#This Row],[  35-39]]</f>
        <v>205</v>
      </c>
      <c r="J53" s="5">
        <f>Table3410111213181422[[#This Row],[  40-44]]-Table3410112[[#This Row],[  40-44]]</f>
        <v>194</v>
      </c>
      <c r="K53" s="5">
        <f>Table3410111213181422[[#This Row],[  45-49 ]]-Table3410112[[#This Row],[  45-49 ]]</f>
        <v>296</v>
      </c>
      <c r="L53" s="5">
        <f>Table3410111213181422[[#This Row],[  50-54]]-Table3410112[[#This Row],[  50-54]]</f>
        <v>210</v>
      </c>
      <c r="M53" s="5">
        <f>Table3410111213181422[[#This Row],[  55-59]]-Table3410112[[#This Row],[  55-59]]</f>
        <v>229</v>
      </c>
      <c r="N53" s="5">
        <f>Table3410111213181422[[#This Row],[  60-64]]-Table3410112[[#This Row],[  60-64]]</f>
        <v>212</v>
      </c>
      <c r="O53" s="5">
        <f>Table3410111213181422[[#This Row],[  65-69]]-Table3410112[[#This Row],[  65-69]]</f>
        <v>92</v>
      </c>
      <c r="P53" s="5">
        <f>Table3410111213181422[[#This Row],[  70-74]]-Table3410112[[#This Row],[  70-74]]</f>
        <v>129</v>
      </c>
      <c r="Q53" s="5">
        <f>Table3410111213181422[[#This Row],[  75-79]]-Table3410112[[#This Row],[  75-79]]</f>
        <v>14</v>
      </c>
      <c r="R53" s="5">
        <f>Table3410111213181422[[#This Row],[  80-84]]-Table3410112[[#This Row],[  80-84]]</f>
        <v>-13</v>
      </c>
      <c r="S53" s="5">
        <f>Table3410111213181422[[#This Row],[  85-89]]-Table3410112[[#This Row],[  85-89]]</f>
        <v>9</v>
      </c>
      <c r="T53" s="5">
        <f>Table3410111213181422[[#This Row],[  90+]]-Table3410112[[#This Row],[  90+]]</f>
        <v>34</v>
      </c>
    </row>
    <row r="54" spans="1:20" x14ac:dyDescent="0.2">
      <c r="A54" s="9" t="s">
        <v>18</v>
      </c>
      <c r="B54" s="6" t="s">
        <v>0</v>
      </c>
      <c r="C54" s="5">
        <f>Table3410111213181422[[#This Row],[Total]]-Table3410112[[#This Row],[Total]]</f>
        <v>2596</v>
      </c>
      <c r="D54" s="5">
        <f>Table3410111213181422[[#This Row],[  5-11]]-Table3410112[[#This Row],[  5-11]]</f>
        <v>1107</v>
      </c>
      <c r="E54" s="5">
        <f>Table3410111213181422[[#This Row],[  12-17]]-Table3410112[[#This Row],[  12-17]]</f>
        <v>264</v>
      </c>
      <c r="F54" s="5">
        <f>Table3410111213181422[[#This Row],[  18-24]]-Table3410112[[#This Row],[  18-24]]</f>
        <v>96</v>
      </c>
      <c r="G54" s="5">
        <f>Table3410111213181422[[#This Row],[  25-29 ]]-Table3410112[[#This Row],[  25-29 ]]</f>
        <v>167</v>
      </c>
      <c r="H54" s="5">
        <f>Table3410111213181422[[#This Row],[  30-34]]-Table3410112[[#This Row],[  30-34]]</f>
        <v>168</v>
      </c>
      <c r="I54" s="5">
        <f>Table3410111213181422[[#This Row],[  35-39]]-Table3410112[[#This Row],[  35-39]]</f>
        <v>115</v>
      </c>
      <c r="J54" s="5">
        <f>Table3410111213181422[[#This Row],[  40-44]]-Table3410112[[#This Row],[  40-44]]</f>
        <v>103</v>
      </c>
      <c r="K54" s="5">
        <f>Table3410111213181422[[#This Row],[  45-49 ]]-Table3410112[[#This Row],[  45-49 ]]</f>
        <v>147</v>
      </c>
      <c r="L54" s="5">
        <f>Table3410111213181422[[#This Row],[  50-54]]-Table3410112[[#This Row],[  50-54]]</f>
        <v>99</v>
      </c>
      <c r="M54" s="5">
        <f>Table3410111213181422[[#This Row],[  55-59]]-Table3410112[[#This Row],[  55-59]]</f>
        <v>113</v>
      </c>
      <c r="N54" s="5">
        <f>Table3410111213181422[[#This Row],[  60-64]]-Table3410112[[#This Row],[  60-64]]</f>
        <v>120</v>
      </c>
      <c r="O54" s="5">
        <f>Table3410111213181422[[#This Row],[  65-69]]-Table3410112[[#This Row],[  65-69]]</f>
        <v>27</v>
      </c>
      <c r="P54" s="5">
        <f>Table3410111213181422[[#This Row],[  70-74]]-Table3410112[[#This Row],[  70-74]]</f>
        <v>61</v>
      </c>
      <c r="Q54" s="5">
        <f>Table3410111213181422[[#This Row],[  75-79]]-Table3410112[[#This Row],[  75-79]]</f>
        <v>20</v>
      </c>
      <c r="R54" s="5">
        <f>Table3410111213181422[[#This Row],[  80-84]]-Table3410112[[#This Row],[  80-84]]</f>
        <v>-15</v>
      </c>
      <c r="S54" s="5">
        <f>Table3410111213181422[[#This Row],[  85-89]]-Table3410112[[#This Row],[  85-89]]</f>
        <v>16</v>
      </c>
      <c r="T54" s="5">
        <f>Table3410111213181422[[#This Row],[  90+]]-Table3410112[[#This Row],[  90+]]</f>
        <v>-12</v>
      </c>
    </row>
    <row r="55" spans="1:20" x14ac:dyDescent="0.2">
      <c r="A55" s="9" t="s">
        <v>18</v>
      </c>
      <c r="B55" s="6" t="s">
        <v>23</v>
      </c>
      <c r="C55" s="5">
        <f>Table3410111213181422[[#This Row],[Total]]-Table3410112[[#This Row],[Total]]</f>
        <v>2435</v>
      </c>
      <c r="D55" s="5">
        <f>Table3410111213181422[[#This Row],[  5-11]]-Table3410112[[#This Row],[  5-11]]</f>
        <v>1016</v>
      </c>
      <c r="E55" s="5">
        <f>Table3410111213181422[[#This Row],[  12-17]]-Table3410112[[#This Row],[  12-17]]</f>
        <v>212</v>
      </c>
      <c r="F55" s="5">
        <f>Table3410111213181422[[#This Row],[  18-24]]-Table3410112[[#This Row],[  18-24]]</f>
        <v>152</v>
      </c>
      <c r="G55" s="5">
        <f>Table3410111213181422[[#This Row],[  25-29 ]]-Table3410112[[#This Row],[  25-29 ]]</f>
        <v>174</v>
      </c>
      <c r="H55" s="5">
        <f>Table3410111213181422[[#This Row],[  30-34]]-Table3410112[[#This Row],[  30-34]]</f>
        <v>64</v>
      </c>
      <c r="I55" s="5">
        <f>Table3410111213181422[[#This Row],[  35-39]]-Table3410112[[#This Row],[  35-39]]</f>
        <v>90</v>
      </c>
      <c r="J55" s="5">
        <f>Table3410111213181422[[#This Row],[  40-44]]-Table3410112[[#This Row],[  40-44]]</f>
        <v>91</v>
      </c>
      <c r="K55" s="5">
        <f>Table3410111213181422[[#This Row],[  45-49 ]]-Table3410112[[#This Row],[  45-49 ]]</f>
        <v>149</v>
      </c>
      <c r="L55" s="5">
        <f>Table3410111213181422[[#This Row],[  50-54]]-Table3410112[[#This Row],[  50-54]]</f>
        <v>111</v>
      </c>
      <c r="M55" s="5">
        <f>Table3410111213181422[[#This Row],[  55-59]]-Table3410112[[#This Row],[  55-59]]</f>
        <v>116</v>
      </c>
      <c r="N55" s="5">
        <f>Table3410111213181422[[#This Row],[  60-64]]-Table3410112[[#This Row],[  60-64]]</f>
        <v>92</v>
      </c>
      <c r="O55" s="5">
        <f>Table3410111213181422[[#This Row],[  65-69]]-Table3410112[[#This Row],[  65-69]]</f>
        <v>65</v>
      </c>
      <c r="P55" s="5">
        <f>Table3410111213181422[[#This Row],[  70-74]]-Table3410112[[#This Row],[  70-74]]</f>
        <v>68</v>
      </c>
      <c r="Q55" s="5">
        <f>Table3410111213181422[[#This Row],[  75-79]]-Table3410112[[#This Row],[  75-79]]</f>
        <v>-6</v>
      </c>
      <c r="R55" s="5">
        <f>Table3410111213181422[[#This Row],[  80-84]]-Table3410112[[#This Row],[  80-84]]</f>
        <v>2</v>
      </c>
      <c r="S55" s="5">
        <f>Table3410111213181422[[#This Row],[  85-89]]-Table3410112[[#This Row],[  85-89]]</f>
        <v>-7</v>
      </c>
      <c r="T55" s="5">
        <f>Table3410111213181422[[#This Row],[  90+]]-Table3410112[[#This Row],[  90+]]</f>
        <v>46</v>
      </c>
    </row>
    <row r="56" spans="1:20" x14ac:dyDescent="0.2">
      <c r="A56" s="9" t="s">
        <v>19</v>
      </c>
      <c r="B56" s="6" t="s">
        <v>22</v>
      </c>
      <c r="C56" s="5">
        <f>Table3410111213181422[[#This Row],[Total]]-Table3410112[[#This Row],[Total]]</f>
        <v>78194</v>
      </c>
      <c r="D56" s="5">
        <f>Table3410111213181422[[#This Row],[  5-11]]-Table3410112[[#This Row],[  5-11]]</f>
        <v>34073</v>
      </c>
      <c r="E56" s="5">
        <f>Table3410111213181422[[#This Row],[  12-17]]-Table3410112[[#This Row],[  12-17]]</f>
        <v>6554</v>
      </c>
      <c r="F56" s="5">
        <f>Table3410111213181422[[#This Row],[  18-24]]-Table3410112[[#This Row],[  18-24]]</f>
        <v>3804</v>
      </c>
      <c r="G56" s="5">
        <f>Table3410111213181422[[#This Row],[  25-29 ]]-Table3410112[[#This Row],[  25-29 ]]</f>
        <v>4688</v>
      </c>
      <c r="H56" s="5">
        <f>Table3410111213181422[[#This Row],[  30-34]]-Table3410112[[#This Row],[  30-34]]</f>
        <v>5047</v>
      </c>
      <c r="I56" s="5">
        <f>Table3410111213181422[[#This Row],[  35-39]]-Table3410112[[#This Row],[  35-39]]</f>
        <v>4555</v>
      </c>
      <c r="J56" s="5">
        <f>Table3410111213181422[[#This Row],[  40-44]]-Table3410112[[#This Row],[  40-44]]</f>
        <v>2442</v>
      </c>
      <c r="K56" s="5">
        <f>Table3410111213181422[[#This Row],[  45-49 ]]-Table3410112[[#This Row],[  45-49 ]]</f>
        <v>3951</v>
      </c>
      <c r="L56" s="5">
        <f>Table3410111213181422[[#This Row],[  50-54]]-Table3410112[[#This Row],[  50-54]]</f>
        <v>3081</v>
      </c>
      <c r="M56" s="5">
        <f>Table3410111213181422[[#This Row],[  55-59]]-Table3410112[[#This Row],[  55-59]]</f>
        <v>3171</v>
      </c>
      <c r="N56" s="5">
        <f>Table3410111213181422[[#This Row],[  60-64]]-Table3410112[[#This Row],[  60-64]]</f>
        <v>2280</v>
      </c>
      <c r="O56" s="5">
        <f>Table3410111213181422[[#This Row],[  65-69]]-Table3410112[[#This Row],[  65-69]]</f>
        <v>2121</v>
      </c>
      <c r="P56" s="5">
        <f>Table3410111213181422[[#This Row],[  70-74]]-Table3410112[[#This Row],[  70-74]]</f>
        <v>1598</v>
      </c>
      <c r="Q56" s="5">
        <f>Table3410111213181422[[#This Row],[  75-79]]-Table3410112[[#This Row],[  75-79]]</f>
        <v>315</v>
      </c>
      <c r="R56" s="5">
        <f>Table3410111213181422[[#This Row],[  80-84]]-Table3410112[[#This Row],[  80-84]]</f>
        <v>187</v>
      </c>
      <c r="S56" s="5">
        <f>Table3410111213181422[[#This Row],[  85-89]]-Table3410112[[#This Row],[  85-89]]</f>
        <v>130</v>
      </c>
      <c r="T56" s="5">
        <f>Table3410111213181422[[#This Row],[  90+]]-Table3410112[[#This Row],[  90+]]</f>
        <v>197</v>
      </c>
    </row>
    <row r="57" spans="1:20" x14ac:dyDescent="0.2">
      <c r="A57" s="10" t="s">
        <v>19</v>
      </c>
      <c r="B57" s="6" t="s">
        <v>0</v>
      </c>
      <c r="C57" s="5">
        <f>Table3410111213181422[[#This Row],[Total]]-Table3410112[[#This Row],[Total]]</f>
        <v>38899</v>
      </c>
      <c r="D57" s="5">
        <f>Table3410111213181422[[#This Row],[  5-11]]-Table3410112[[#This Row],[  5-11]]</f>
        <v>17648</v>
      </c>
      <c r="E57" s="5">
        <f>Table3410111213181422[[#This Row],[  12-17]]-Table3410112[[#This Row],[  12-17]]</f>
        <v>3460</v>
      </c>
      <c r="F57" s="5">
        <f>Table3410111213181422[[#This Row],[  18-24]]-Table3410112[[#This Row],[  18-24]]</f>
        <v>1914</v>
      </c>
      <c r="G57" s="5">
        <f>Table3410111213181422[[#This Row],[  25-29 ]]-Table3410112[[#This Row],[  25-29 ]]</f>
        <v>2202</v>
      </c>
      <c r="H57" s="5">
        <f>Table3410111213181422[[#This Row],[  30-34]]-Table3410112[[#This Row],[  30-34]]</f>
        <v>2270</v>
      </c>
      <c r="I57" s="5">
        <f>Table3410111213181422[[#This Row],[  35-39]]-Table3410112[[#This Row],[  35-39]]</f>
        <v>2244</v>
      </c>
      <c r="J57" s="5">
        <f>Table3410111213181422[[#This Row],[  40-44]]-Table3410112[[#This Row],[  40-44]]</f>
        <v>1005</v>
      </c>
      <c r="K57" s="5">
        <f>Table3410111213181422[[#This Row],[  45-49 ]]-Table3410112[[#This Row],[  45-49 ]]</f>
        <v>1934</v>
      </c>
      <c r="L57" s="5">
        <f>Table3410111213181422[[#This Row],[  50-54]]-Table3410112[[#This Row],[  50-54]]</f>
        <v>1628</v>
      </c>
      <c r="M57" s="5">
        <f>Table3410111213181422[[#This Row],[  55-59]]-Table3410112[[#This Row],[  55-59]]</f>
        <v>1525</v>
      </c>
      <c r="N57" s="5">
        <f>Table3410111213181422[[#This Row],[  60-64]]-Table3410112[[#This Row],[  60-64]]</f>
        <v>937</v>
      </c>
      <c r="O57" s="5">
        <f>Table3410111213181422[[#This Row],[  65-69]]-Table3410112[[#This Row],[  65-69]]</f>
        <v>1023</v>
      </c>
      <c r="P57" s="5">
        <f>Table3410111213181422[[#This Row],[  70-74]]-Table3410112[[#This Row],[  70-74]]</f>
        <v>779</v>
      </c>
      <c r="Q57" s="5">
        <f>Table3410111213181422[[#This Row],[  75-79]]-Table3410112[[#This Row],[  75-79]]</f>
        <v>172</v>
      </c>
      <c r="R57" s="5">
        <f>Table3410111213181422[[#This Row],[  80-84]]-Table3410112[[#This Row],[  80-84]]</f>
        <v>34</v>
      </c>
      <c r="S57" s="5">
        <f>Table3410111213181422[[#This Row],[  85-89]]-Table3410112[[#This Row],[  85-89]]</f>
        <v>122</v>
      </c>
      <c r="T57" s="5">
        <f>Table3410111213181422[[#This Row],[  90+]]-Table3410112[[#This Row],[  90+]]</f>
        <v>2</v>
      </c>
    </row>
    <row r="58" spans="1:20" x14ac:dyDescent="0.2">
      <c r="A58" s="10" t="s">
        <v>19</v>
      </c>
      <c r="B58" s="6" t="s">
        <v>23</v>
      </c>
      <c r="C58" s="5">
        <f>Table3410111213181422[[#This Row],[Total]]-Table3410112[[#This Row],[Total]]</f>
        <v>39295</v>
      </c>
      <c r="D58" s="5">
        <f>Table3410111213181422[[#This Row],[  5-11]]-Table3410112[[#This Row],[  5-11]]</f>
        <v>16425</v>
      </c>
      <c r="E58" s="5">
        <f>Table3410111213181422[[#This Row],[  12-17]]-Table3410112[[#This Row],[  12-17]]</f>
        <v>3094</v>
      </c>
      <c r="F58" s="5">
        <f>Table3410111213181422[[#This Row],[  18-24]]-Table3410112[[#This Row],[  18-24]]</f>
        <v>1890</v>
      </c>
      <c r="G58" s="5">
        <f>Table3410111213181422[[#This Row],[  25-29 ]]-Table3410112[[#This Row],[  25-29 ]]</f>
        <v>2486</v>
      </c>
      <c r="H58" s="5">
        <f>Table3410111213181422[[#This Row],[  30-34]]-Table3410112[[#This Row],[  30-34]]</f>
        <v>2777</v>
      </c>
      <c r="I58" s="5">
        <f>Table3410111213181422[[#This Row],[  35-39]]-Table3410112[[#This Row],[  35-39]]</f>
        <v>2311</v>
      </c>
      <c r="J58" s="5">
        <f>Table3410111213181422[[#This Row],[  40-44]]-Table3410112[[#This Row],[  40-44]]</f>
        <v>1437</v>
      </c>
      <c r="K58" s="5">
        <f>Table3410111213181422[[#This Row],[  45-49 ]]-Table3410112[[#This Row],[  45-49 ]]</f>
        <v>2017</v>
      </c>
      <c r="L58" s="5">
        <f>Table3410111213181422[[#This Row],[  50-54]]-Table3410112[[#This Row],[  50-54]]</f>
        <v>1453</v>
      </c>
      <c r="M58" s="5">
        <f>Table3410111213181422[[#This Row],[  55-59]]-Table3410112[[#This Row],[  55-59]]</f>
        <v>1646</v>
      </c>
      <c r="N58" s="5">
        <f>Table3410111213181422[[#This Row],[  60-64]]-Table3410112[[#This Row],[  60-64]]</f>
        <v>1343</v>
      </c>
      <c r="O58" s="5">
        <f>Table3410111213181422[[#This Row],[  65-69]]-Table3410112[[#This Row],[  65-69]]</f>
        <v>1098</v>
      </c>
      <c r="P58" s="5">
        <f>Table3410111213181422[[#This Row],[  70-74]]-Table3410112[[#This Row],[  70-74]]</f>
        <v>819</v>
      </c>
      <c r="Q58" s="5">
        <f>Table3410111213181422[[#This Row],[  75-79]]-Table3410112[[#This Row],[  75-79]]</f>
        <v>143</v>
      </c>
      <c r="R58" s="5">
        <f>Table3410111213181422[[#This Row],[  80-84]]-Table3410112[[#This Row],[  80-84]]</f>
        <v>153</v>
      </c>
      <c r="S58" s="5">
        <f>Table3410111213181422[[#This Row],[  85-89]]-Table3410112[[#This Row],[  85-89]]</f>
        <v>8</v>
      </c>
      <c r="T58" s="5">
        <f>Table3410111213181422[[#This Row],[  90+]]-Table3410112[[#This Row],[  90+]]</f>
        <v>195</v>
      </c>
    </row>
    <row r="59" spans="1:20" x14ac:dyDescent="0.2">
      <c r="A59" s="9" t="s">
        <v>20</v>
      </c>
      <c r="B59" s="6" t="s">
        <v>22</v>
      </c>
      <c r="C59" s="5">
        <f>Table3410111213181422[[#This Row],[Total]]-Table3410112[[#This Row],[Total]]</f>
        <v>4457</v>
      </c>
      <c r="D59" s="5">
        <f>Table3410111213181422[[#This Row],[  5-11]]-Table3410112[[#This Row],[  5-11]]</f>
        <v>1544</v>
      </c>
      <c r="E59" s="5">
        <f>Table3410111213181422[[#This Row],[  12-17]]-Table3410112[[#This Row],[  12-17]]</f>
        <v>405</v>
      </c>
      <c r="F59" s="5">
        <f>Table3410111213181422[[#This Row],[  18-24]]-Table3410112[[#This Row],[  18-24]]</f>
        <v>123</v>
      </c>
      <c r="G59" s="5">
        <f>Table3410111213181422[[#This Row],[  25-29 ]]-Table3410112[[#This Row],[  25-29 ]]</f>
        <v>315</v>
      </c>
      <c r="H59" s="5">
        <f>Table3410111213181422[[#This Row],[  30-34]]-Table3410112[[#This Row],[  30-34]]</f>
        <v>275</v>
      </c>
      <c r="I59" s="5">
        <f>Table3410111213181422[[#This Row],[  35-39]]-Table3410112[[#This Row],[  35-39]]</f>
        <v>236</v>
      </c>
      <c r="J59" s="5">
        <f>Table3410111213181422[[#This Row],[  40-44]]-Table3410112[[#This Row],[  40-44]]</f>
        <v>218</v>
      </c>
      <c r="K59" s="5">
        <f>Table3410111213181422[[#This Row],[  45-49 ]]-Table3410112[[#This Row],[  45-49 ]]</f>
        <v>320</v>
      </c>
      <c r="L59" s="5">
        <f>Table3410111213181422[[#This Row],[  50-54]]-Table3410112[[#This Row],[  50-54]]</f>
        <v>235</v>
      </c>
      <c r="M59" s="5">
        <f>Table3410111213181422[[#This Row],[  55-59]]-Table3410112[[#This Row],[  55-59]]</f>
        <v>307</v>
      </c>
      <c r="N59" s="5">
        <f>Table3410111213181422[[#This Row],[  60-64]]-Table3410112[[#This Row],[  60-64]]</f>
        <v>162</v>
      </c>
      <c r="O59" s="5">
        <f>Table3410111213181422[[#This Row],[  65-69]]-Table3410112[[#This Row],[  65-69]]</f>
        <v>209</v>
      </c>
      <c r="P59" s="5">
        <f>Table3410111213181422[[#This Row],[  70-74]]-Table3410112[[#This Row],[  70-74]]</f>
        <v>28</v>
      </c>
      <c r="Q59" s="5">
        <f>Table3410111213181422[[#This Row],[  75-79]]-Table3410112[[#This Row],[  75-79]]</f>
        <v>22</v>
      </c>
      <c r="R59" s="5">
        <f>Table3410111213181422[[#This Row],[  80-84]]-Table3410112[[#This Row],[  80-84]]</f>
        <v>37</v>
      </c>
      <c r="S59" s="5">
        <f>Table3410111213181422[[#This Row],[  85-89]]-Table3410112[[#This Row],[  85-89]]</f>
        <v>2</v>
      </c>
      <c r="T59" s="5">
        <f>Table3410111213181422[[#This Row],[  90+]]-Table3410112[[#This Row],[  90+]]</f>
        <v>19</v>
      </c>
    </row>
    <row r="60" spans="1:20" x14ac:dyDescent="0.2">
      <c r="A60" s="9" t="s">
        <v>20</v>
      </c>
      <c r="B60" s="6" t="s">
        <v>0</v>
      </c>
      <c r="C60" s="5">
        <f>Table3410111213181422[[#This Row],[Total]]-Table3410112[[#This Row],[Total]]</f>
        <v>2422</v>
      </c>
      <c r="D60" s="5">
        <f>Table3410111213181422[[#This Row],[  5-11]]-Table3410112[[#This Row],[  5-11]]</f>
        <v>801</v>
      </c>
      <c r="E60" s="5">
        <f>Table3410111213181422[[#This Row],[  12-17]]-Table3410112[[#This Row],[  12-17]]</f>
        <v>251</v>
      </c>
      <c r="F60" s="5">
        <f>Table3410111213181422[[#This Row],[  18-24]]-Table3410112[[#This Row],[  18-24]]</f>
        <v>54</v>
      </c>
      <c r="G60" s="5">
        <f>Table3410111213181422[[#This Row],[  25-29 ]]-Table3410112[[#This Row],[  25-29 ]]</f>
        <v>156</v>
      </c>
      <c r="H60" s="5">
        <f>Table3410111213181422[[#This Row],[  30-34]]-Table3410112[[#This Row],[  30-34]]</f>
        <v>141</v>
      </c>
      <c r="I60" s="5">
        <f>Table3410111213181422[[#This Row],[  35-39]]-Table3410112[[#This Row],[  35-39]]</f>
        <v>110</v>
      </c>
      <c r="J60" s="5">
        <f>Table3410111213181422[[#This Row],[  40-44]]-Table3410112[[#This Row],[  40-44]]</f>
        <v>131</v>
      </c>
      <c r="K60" s="5">
        <f>Table3410111213181422[[#This Row],[  45-49 ]]-Table3410112[[#This Row],[  45-49 ]]</f>
        <v>158</v>
      </c>
      <c r="L60" s="5">
        <f>Table3410111213181422[[#This Row],[  50-54]]-Table3410112[[#This Row],[  50-54]]</f>
        <v>118</v>
      </c>
      <c r="M60" s="5">
        <f>Table3410111213181422[[#This Row],[  55-59]]-Table3410112[[#This Row],[  55-59]]</f>
        <v>199</v>
      </c>
      <c r="N60" s="5">
        <f>Table3410111213181422[[#This Row],[  60-64]]-Table3410112[[#This Row],[  60-64]]</f>
        <v>111</v>
      </c>
      <c r="O60" s="5">
        <f>Table3410111213181422[[#This Row],[  65-69]]-Table3410112[[#This Row],[  65-69]]</f>
        <v>129</v>
      </c>
      <c r="P60" s="5">
        <f>Table3410111213181422[[#This Row],[  70-74]]-Table3410112[[#This Row],[  70-74]]</f>
        <v>19</v>
      </c>
      <c r="Q60" s="5">
        <f>Table3410111213181422[[#This Row],[  75-79]]-Table3410112[[#This Row],[  75-79]]</f>
        <v>17</v>
      </c>
      <c r="R60" s="5">
        <f>Table3410111213181422[[#This Row],[  80-84]]-Table3410112[[#This Row],[  80-84]]</f>
        <v>18</v>
      </c>
      <c r="S60" s="5">
        <f>Table3410111213181422[[#This Row],[  85-89]]-Table3410112[[#This Row],[  85-89]]</f>
        <v>-2</v>
      </c>
      <c r="T60" s="5">
        <f>Table3410111213181422[[#This Row],[  90+]]-Table3410112[[#This Row],[  90+]]</f>
        <v>11</v>
      </c>
    </row>
    <row r="61" spans="1:20" x14ac:dyDescent="0.2">
      <c r="A61" s="9" t="s">
        <v>20</v>
      </c>
      <c r="B61" s="6" t="s">
        <v>23</v>
      </c>
      <c r="C61" s="5">
        <f>Table3410111213181422[[#This Row],[Total]]-Table3410112[[#This Row],[Total]]</f>
        <v>2035</v>
      </c>
      <c r="D61" s="5">
        <f>Table3410111213181422[[#This Row],[  5-11]]-Table3410112[[#This Row],[  5-11]]</f>
        <v>743</v>
      </c>
      <c r="E61" s="5">
        <f>Table3410111213181422[[#This Row],[  12-17]]-Table3410112[[#This Row],[  12-17]]</f>
        <v>154</v>
      </c>
      <c r="F61" s="5">
        <f>Table3410111213181422[[#This Row],[  18-24]]-Table3410112[[#This Row],[  18-24]]</f>
        <v>69</v>
      </c>
      <c r="G61" s="5">
        <f>Table3410111213181422[[#This Row],[  25-29 ]]-Table3410112[[#This Row],[  25-29 ]]</f>
        <v>159</v>
      </c>
      <c r="H61" s="5">
        <f>Table3410111213181422[[#This Row],[  30-34]]-Table3410112[[#This Row],[  30-34]]</f>
        <v>134</v>
      </c>
      <c r="I61" s="5">
        <f>Table3410111213181422[[#This Row],[  35-39]]-Table3410112[[#This Row],[  35-39]]</f>
        <v>126</v>
      </c>
      <c r="J61" s="5">
        <f>Table3410111213181422[[#This Row],[  40-44]]-Table3410112[[#This Row],[  40-44]]</f>
        <v>87</v>
      </c>
      <c r="K61" s="5">
        <f>Table3410111213181422[[#This Row],[  45-49 ]]-Table3410112[[#This Row],[  45-49 ]]</f>
        <v>162</v>
      </c>
      <c r="L61" s="5">
        <f>Table3410111213181422[[#This Row],[  50-54]]-Table3410112[[#This Row],[  50-54]]</f>
        <v>117</v>
      </c>
      <c r="M61" s="5">
        <f>Table3410111213181422[[#This Row],[  55-59]]-Table3410112[[#This Row],[  55-59]]</f>
        <v>108</v>
      </c>
      <c r="N61" s="5">
        <f>Table3410111213181422[[#This Row],[  60-64]]-Table3410112[[#This Row],[  60-64]]</f>
        <v>51</v>
      </c>
      <c r="O61" s="5">
        <f>Table3410111213181422[[#This Row],[  65-69]]-Table3410112[[#This Row],[  65-69]]</f>
        <v>80</v>
      </c>
      <c r="P61" s="5">
        <f>Table3410111213181422[[#This Row],[  70-74]]-Table3410112[[#This Row],[  70-74]]</f>
        <v>9</v>
      </c>
      <c r="Q61" s="5">
        <f>Table3410111213181422[[#This Row],[  75-79]]-Table3410112[[#This Row],[  75-79]]</f>
        <v>5</v>
      </c>
      <c r="R61" s="5">
        <f>Table3410111213181422[[#This Row],[  80-84]]-Table3410112[[#This Row],[  80-84]]</f>
        <v>19</v>
      </c>
      <c r="S61" s="5">
        <f>Table3410111213181422[[#This Row],[  85-89]]-Table3410112[[#This Row],[  85-89]]</f>
        <v>4</v>
      </c>
      <c r="T61" s="5">
        <f>Table3410111213181422[[#This Row],[  90+]]-Table3410112[[#This Row],[  90+]]</f>
        <v>8</v>
      </c>
    </row>
    <row r="62" spans="1:20" x14ac:dyDescent="0.2">
      <c r="A62" s="13" t="s">
        <v>21</v>
      </c>
      <c r="B62" s="6" t="s">
        <v>22</v>
      </c>
      <c r="C62" s="5">
        <f>Table3410111213181422[[#This Row],[Total]]-Table3410112[[#This Row],[Total]]</f>
        <v>7756</v>
      </c>
      <c r="D62" s="5">
        <f>Table3410111213181422[[#This Row],[  5-11]]-Table3410112[[#This Row],[  5-11]]</f>
        <v>2823</v>
      </c>
      <c r="E62" s="5">
        <f>Table3410111213181422[[#This Row],[  12-17]]-Table3410112[[#This Row],[  12-17]]</f>
        <v>793</v>
      </c>
      <c r="F62" s="5">
        <f>Table3410111213181422[[#This Row],[  18-24]]-Table3410112[[#This Row],[  18-24]]</f>
        <v>524</v>
      </c>
      <c r="G62" s="5">
        <f>Table3410111213181422[[#This Row],[  25-29 ]]-Table3410112[[#This Row],[  25-29 ]]</f>
        <v>510</v>
      </c>
      <c r="H62" s="5">
        <f>Table3410111213181422[[#This Row],[  30-34]]-Table3410112[[#This Row],[  30-34]]</f>
        <v>440</v>
      </c>
      <c r="I62" s="5">
        <f>Table3410111213181422[[#This Row],[  35-39]]-Table3410112[[#This Row],[  35-39]]</f>
        <v>297</v>
      </c>
      <c r="J62" s="5">
        <f>Table3410111213181422[[#This Row],[  40-44]]-Table3410112[[#This Row],[  40-44]]</f>
        <v>311</v>
      </c>
      <c r="K62" s="5">
        <f>Table3410111213181422[[#This Row],[  45-49 ]]-Table3410112[[#This Row],[  45-49 ]]</f>
        <v>419</v>
      </c>
      <c r="L62" s="5">
        <f>Table3410111213181422[[#This Row],[  50-54]]-Table3410112[[#This Row],[  50-54]]</f>
        <v>337</v>
      </c>
      <c r="M62" s="5">
        <f>Table3410111213181422[[#This Row],[  55-59]]-Table3410112[[#This Row],[  55-59]]</f>
        <v>427</v>
      </c>
      <c r="N62" s="5">
        <f>Table3410111213181422[[#This Row],[  60-64]]-Table3410112[[#This Row],[  60-64]]</f>
        <v>342</v>
      </c>
      <c r="O62" s="5">
        <f>Table3410111213181422[[#This Row],[  65-69]]-Table3410112[[#This Row],[  65-69]]</f>
        <v>227</v>
      </c>
      <c r="P62" s="5">
        <f>Table3410111213181422[[#This Row],[  70-74]]-Table3410112[[#This Row],[  70-74]]</f>
        <v>286</v>
      </c>
      <c r="Q62" s="5">
        <f>Table3410111213181422[[#This Row],[  75-79]]-Table3410112[[#This Row],[  75-79]]</f>
        <v>-68</v>
      </c>
      <c r="R62" s="5">
        <f>Table3410111213181422[[#This Row],[  80-84]]-Table3410112[[#This Row],[  80-84]]</f>
        <v>50</v>
      </c>
      <c r="S62" s="5">
        <f>Table3410111213181422[[#This Row],[  85-89]]-Table3410112[[#This Row],[  85-89]]</f>
        <v>0</v>
      </c>
      <c r="T62" s="5">
        <f>Table3410111213181422[[#This Row],[  90+]]-Table3410112[[#This Row],[  90+]]</f>
        <v>38</v>
      </c>
    </row>
    <row r="63" spans="1:20" x14ac:dyDescent="0.2">
      <c r="A63" s="10" t="s">
        <v>21</v>
      </c>
      <c r="B63" s="6" t="s">
        <v>0</v>
      </c>
      <c r="C63" s="5">
        <f>Table3410111213181422[[#This Row],[Total]]-Table3410112[[#This Row],[Total]]</f>
        <v>3895</v>
      </c>
      <c r="D63" s="5">
        <f>Table3410111213181422[[#This Row],[  5-11]]-Table3410112[[#This Row],[  5-11]]</f>
        <v>1464</v>
      </c>
      <c r="E63" s="5">
        <f>Table3410111213181422[[#This Row],[  12-17]]-Table3410112[[#This Row],[  12-17]]</f>
        <v>381</v>
      </c>
      <c r="F63" s="5">
        <f>Table3410111213181422[[#This Row],[  18-24]]-Table3410112[[#This Row],[  18-24]]</f>
        <v>256</v>
      </c>
      <c r="G63" s="5">
        <f>Table3410111213181422[[#This Row],[  25-29 ]]-Table3410112[[#This Row],[  25-29 ]]</f>
        <v>272</v>
      </c>
      <c r="H63" s="5">
        <f>Table3410111213181422[[#This Row],[  30-34]]-Table3410112[[#This Row],[  30-34]]</f>
        <v>194</v>
      </c>
      <c r="I63" s="5">
        <f>Table3410111213181422[[#This Row],[  35-39]]-Table3410112[[#This Row],[  35-39]]</f>
        <v>156</v>
      </c>
      <c r="J63" s="5">
        <f>Table3410111213181422[[#This Row],[  40-44]]-Table3410112[[#This Row],[  40-44]]</f>
        <v>129</v>
      </c>
      <c r="K63" s="5">
        <f>Table3410111213181422[[#This Row],[  45-49 ]]-Table3410112[[#This Row],[  45-49 ]]</f>
        <v>222</v>
      </c>
      <c r="L63" s="5">
        <f>Table3410111213181422[[#This Row],[  50-54]]-Table3410112[[#This Row],[  50-54]]</f>
        <v>169</v>
      </c>
      <c r="M63" s="5">
        <f>Table3410111213181422[[#This Row],[  55-59]]-Table3410112[[#This Row],[  55-59]]</f>
        <v>249</v>
      </c>
      <c r="N63" s="5">
        <f>Table3410111213181422[[#This Row],[  60-64]]-Table3410112[[#This Row],[  60-64]]</f>
        <v>158</v>
      </c>
      <c r="O63" s="5">
        <f>Table3410111213181422[[#This Row],[  65-69]]-Table3410112[[#This Row],[  65-69]]</f>
        <v>153</v>
      </c>
      <c r="P63" s="5">
        <f>Table3410111213181422[[#This Row],[  70-74]]-Table3410112[[#This Row],[  70-74]]</f>
        <v>112</v>
      </c>
      <c r="Q63" s="5">
        <f>Table3410111213181422[[#This Row],[  75-79]]-Table3410112[[#This Row],[  75-79]]</f>
        <v>-35</v>
      </c>
      <c r="R63" s="5">
        <f>Table3410111213181422[[#This Row],[  80-84]]-Table3410112[[#This Row],[  80-84]]</f>
        <v>9</v>
      </c>
      <c r="S63" s="5">
        <f>Table3410111213181422[[#This Row],[  85-89]]-Table3410112[[#This Row],[  85-89]]</f>
        <v>-2</v>
      </c>
      <c r="T63" s="5">
        <f>Table3410111213181422[[#This Row],[  90+]]-Table3410112[[#This Row],[  90+]]</f>
        <v>8</v>
      </c>
    </row>
    <row r="64" spans="1:20" x14ac:dyDescent="0.2">
      <c r="A64" s="10" t="s">
        <v>21</v>
      </c>
      <c r="B64" s="6" t="s">
        <v>23</v>
      </c>
      <c r="C64" s="5">
        <f>Table3410111213181422[[#This Row],[Total]]-Table3410112[[#This Row],[Total]]</f>
        <v>3861</v>
      </c>
      <c r="D64" s="5">
        <f>Table3410111213181422[[#This Row],[  5-11]]-Table3410112[[#This Row],[  5-11]]</f>
        <v>1359</v>
      </c>
      <c r="E64" s="5">
        <f>Table3410111213181422[[#This Row],[  12-17]]-Table3410112[[#This Row],[  12-17]]</f>
        <v>412</v>
      </c>
      <c r="F64" s="5">
        <f>Table3410111213181422[[#This Row],[  18-24]]-Table3410112[[#This Row],[  18-24]]</f>
        <v>268</v>
      </c>
      <c r="G64" s="5">
        <f>Table3410111213181422[[#This Row],[  25-29 ]]-Table3410112[[#This Row],[  25-29 ]]</f>
        <v>238</v>
      </c>
      <c r="H64" s="5">
        <f>Table3410111213181422[[#This Row],[  30-34]]-Table3410112[[#This Row],[  30-34]]</f>
        <v>246</v>
      </c>
      <c r="I64" s="5">
        <f>Table3410111213181422[[#This Row],[  35-39]]-Table3410112[[#This Row],[  35-39]]</f>
        <v>141</v>
      </c>
      <c r="J64" s="5">
        <f>Table3410111213181422[[#This Row],[  40-44]]-Table3410112[[#This Row],[  40-44]]</f>
        <v>182</v>
      </c>
      <c r="K64" s="5">
        <f>Table3410111213181422[[#This Row],[  45-49 ]]-Table3410112[[#This Row],[  45-49 ]]</f>
        <v>197</v>
      </c>
      <c r="L64" s="5">
        <f>Table3410111213181422[[#This Row],[  50-54]]-Table3410112[[#This Row],[  50-54]]</f>
        <v>168</v>
      </c>
      <c r="M64" s="5">
        <f>Table3410111213181422[[#This Row],[  55-59]]-Table3410112[[#This Row],[  55-59]]</f>
        <v>178</v>
      </c>
      <c r="N64" s="5">
        <f>Table3410111213181422[[#This Row],[  60-64]]-Table3410112[[#This Row],[  60-64]]</f>
        <v>184</v>
      </c>
      <c r="O64" s="5">
        <f>Table3410111213181422[[#This Row],[  65-69]]-Table3410112[[#This Row],[  65-69]]</f>
        <v>74</v>
      </c>
      <c r="P64" s="5">
        <f>Table3410111213181422[[#This Row],[  70-74]]-Table3410112[[#This Row],[  70-74]]</f>
        <v>174</v>
      </c>
      <c r="Q64" s="5">
        <f>Table3410111213181422[[#This Row],[  75-79]]-Table3410112[[#This Row],[  75-79]]</f>
        <v>-33</v>
      </c>
      <c r="R64" s="5">
        <f>Table3410111213181422[[#This Row],[  80-84]]-Table3410112[[#This Row],[  80-84]]</f>
        <v>41</v>
      </c>
      <c r="S64" s="5">
        <f>Table3410111213181422[[#This Row],[  85-89]]-Table3410112[[#This Row],[  85-89]]</f>
        <v>2</v>
      </c>
      <c r="T64" s="5">
        <f>Table3410111213181422[[#This Row],[  90+]]-Table3410112[[#This Row],[  90+]]</f>
        <v>30</v>
      </c>
    </row>
    <row r="65" spans="1:20" x14ac:dyDescent="0.2">
      <c r="A65" s="13" t="s">
        <v>22</v>
      </c>
      <c r="B65" s="6" t="s">
        <v>22</v>
      </c>
      <c r="C65" s="5">
        <f>Table3410111213181422[[#This Row],[Total]]-Table3410112[[#This Row],[Total]]</f>
        <v>573268</v>
      </c>
      <c r="D65" s="5">
        <f>Table3410111213181422[[#This Row],[  5-11]]-Table3410112[[#This Row],[  5-11]]</f>
        <v>236497</v>
      </c>
      <c r="E65" s="5">
        <f>Table3410111213181422[[#This Row],[  12-17]]-Table3410112[[#This Row],[  12-17]]</f>
        <v>50831</v>
      </c>
      <c r="F65" s="5">
        <f>Table3410111213181422[[#This Row],[  18-24]]-Table3410112[[#This Row],[  18-24]]</f>
        <v>31198</v>
      </c>
      <c r="G65" s="5">
        <f>Table3410111213181422[[#This Row],[  25-29 ]]-Table3410112[[#This Row],[  25-29 ]]</f>
        <v>42165</v>
      </c>
      <c r="H65" s="5">
        <f>Table3410111213181422[[#This Row],[  30-34]]-Table3410112[[#This Row],[  30-34]]</f>
        <v>36783</v>
      </c>
      <c r="I65" s="5">
        <f>Table3410111213181422[[#This Row],[  35-39]]-Table3410112[[#This Row],[  35-39]]</f>
        <v>28807</v>
      </c>
      <c r="J65" s="5">
        <f>Table3410111213181422[[#This Row],[  40-44]]-Table3410112[[#This Row],[  40-44]]</f>
        <v>21566</v>
      </c>
      <c r="K65" s="5">
        <f>Table3410111213181422[[#This Row],[  45-49 ]]-Table3410112[[#This Row],[  45-49 ]]</f>
        <v>29682</v>
      </c>
      <c r="L65" s="5">
        <f>Table3410111213181422[[#This Row],[  50-54]]-Table3410112[[#This Row],[  50-54]]</f>
        <v>22814</v>
      </c>
      <c r="M65" s="5">
        <f>Table3410111213181422[[#This Row],[  55-59]]-Table3410112[[#This Row],[  55-59]]</f>
        <v>26264</v>
      </c>
      <c r="N65" s="5">
        <f>Table3410111213181422[[#This Row],[  60-64]]-Table3410112[[#This Row],[  60-64]]</f>
        <v>16786</v>
      </c>
      <c r="O65" s="5">
        <f>Table3410111213181422[[#This Row],[  65-69]]-Table3410112[[#This Row],[  65-69]]</f>
        <v>13500</v>
      </c>
      <c r="P65" s="5">
        <f>Table3410111213181422[[#This Row],[  70-74]]-Table3410112[[#This Row],[  70-74]]</f>
        <v>12364</v>
      </c>
      <c r="Q65" s="5">
        <f>Table3410111213181422[[#This Row],[  75-79]]-Table3410112[[#This Row],[  75-79]]</f>
        <v>-391</v>
      </c>
      <c r="R65" s="5">
        <f>Table3410111213181422[[#This Row],[  80-84]]-Table3410112[[#This Row],[  80-84]]</f>
        <v>1475</v>
      </c>
      <c r="S65" s="5">
        <f>Table3410111213181422[[#This Row],[  85-89]]-Table3410112[[#This Row],[  85-89]]</f>
        <v>1167</v>
      </c>
      <c r="T65" s="5">
        <f>Table3410111213181422[[#This Row],[  90+]]-Table3410112[[#This Row],[  90+]]</f>
        <v>1760</v>
      </c>
    </row>
    <row r="66" spans="1:20" x14ac:dyDescent="0.2">
      <c r="A66" s="10" t="s">
        <v>22</v>
      </c>
      <c r="B66" s="6" t="s">
        <v>0</v>
      </c>
      <c r="C66" s="5">
        <f>Table3410111213181422[[#This Row],[Total]]-Table3410112[[#This Row],[Total]]</f>
        <v>291266</v>
      </c>
      <c r="D66" s="5">
        <f>Table3410111213181422[[#This Row],[  5-11]]-Table3410112[[#This Row],[  5-11]]</f>
        <v>121931</v>
      </c>
      <c r="E66" s="5">
        <f>Table3410111213181422[[#This Row],[  12-17]]-Table3410112[[#This Row],[  12-17]]</f>
        <v>26740</v>
      </c>
      <c r="F66" s="5">
        <f>Table3410111213181422[[#This Row],[  18-24]]-Table3410112[[#This Row],[  18-24]]</f>
        <v>16704</v>
      </c>
      <c r="G66" s="5">
        <f>Table3410111213181422[[#This Row],[  25-29 ]]-Table3410112[[#This Row],[  25-29 ]]</f>
        <v>20949</v>
      </c>
      <c r="H66" s="5">
        <f>Table3410111213181422[[#This Row],[  30-34]]-Table3410112[[#This Row],[  30-34]]</f>
        <v>17771</v>
      </c>
      <c r="I66" s="5">
        <f>Table3410111213181422[[#This Row],[  35-39]]-Table3410112[[#This Row],[  35-39]]</f>
        <v>14048</v>
      </c>
      <c r="J66" s="5">
        <f>Table3410111213181422[[#This Row],[  40-44]]-Table3410112[[#This Row],[  40-44]]</f>
        <v>10816</v>
      </c>
      <c r="K66" s="5">
        <f>Table3410111213181422[[#This Row],[  45-49 ]]-Table3410112[[#This Row],[  45-49 ]]</f>
        <v>15029</v>
      </c>
      <c r="L66" s="5">
        <f>Table3410111213181422[[#This Row],[  50-54]]-Table3410112[[#This Row],[  50-54]]</f>
        <v>11700</v>
      </c>
      <c r="M66" s="5">
        <f>Table3410111213181422[[#This Row],[  55-59]]-Table3410112[[#This Row],[  55-59]]</f>
        <v>13277</v>
      </c>
      <c r="N66" s="5">
        <f>Table3410111213181422[[#This Row],[  60-64]]-Table3410112[[#This Row],[  60-64]]</f>
        <v>8408</v>
      </c>
      <c r="O66" s="5">
        <f>Table3410111213181422[[#This Row],[  65-69]]-Table3410112[[#This Row],[  65-69]]</f>
        <v>6697</v>
      </c>
      <c r="P66" s="5">
        <f>Table3410111213181422[[#This Row],[  70-74]]-Table3410112[[#This Row],[  70-74]]</f>
        <v>6166</v>
      </c>
      <c r="Q66" s="5">
        <f>Table3410111213181422[[#This Row],[  75-79]]-Table3410112[[#This Row],[  75-79]]</f>
        <v>-248</v>
      </c>
      <c r="R66" s="5">
        <f>Table3410111213181422[[#This Row],[  80-84]]-Table3410112[[#This Row],[  80-84]]</f>
        <v>382</v>
      </c>
      <c r="S66" s="5">
        <f>Table3410111213181422[[#This Row],[  85-89]]-Table3410112[[#This Row],[  85-89]]</f>
        <v>493</v>
      </c>
      <c r="T66" s="5">
        <f>Table3410111213181422[[#This Row],[  90+]]-Table3410112[[#This Row],[  90+]]</f>
        <v>403</v>
      </c>
    </row>
    <row r="67" spans="1:20" x14ac:dyDescent="0.2">
      <c r="A67" s="10" t="s">
        <v>22</v>
      </c>
      <c r="B67" s="6" t="s">
        <v>23</v>
      </c>
      <c r="C67" s="5">
        <f>Table3410111213181422[[#This Row],[Total]]-Table3410112[[#This Row],[Total]]</f>
        <v>282002</v>
      </c>
      <c r="D67" s="5">
        <f>Table3410111213181422[[#This Row],[  5-11]]-Table3410112[[#This Row],[  5-11]]</f>
        <v>114566</v>
      </c>
      <c r="E67" s="5">
        <f>Table3410111213181422[[#This Row],[  12-17]]-Table3410112[[#This Row],[  12-17]]</f>
        <v>24091</v>
      </c>
      <c r="F67" s="5">
        <f>Table3410111213181422[[#This Row],[  18-24]]-Table3410112[[#This Row],[  18-24]]</f>
        <v>14494</v>
      </c>
      <c r="G67" s="5">
        <f>Table3410111213181422[[#This Row],[  25-29 ]]-Table3410112[[#This Row],[  25-29 ]]</f>
        <v>21216</v>
      </c>
      <c r="H67" s="5">
        <f>Table3410111213181422[[#This Row],[  30-34]]-Table3410112[[#This Row],[  30-34]]</f>
        <v>19012</v>
      </c>
      <c r="I67" s="5">
        <f>Table3410111213181422[[#This Row],[  35-39]]-Table3410112[[#This Row],[  35-39]]</f>
        <v>14759</v>
      </c>
      <c r="J67" s="5">
        <f>Table3410111213181422[[#This Row],[  40-44]]-Table3410112[[#This Row],[  40-44]]</f>
        <v>10750</v>
      </c>
      <c r="K67" s="5">
        <f>Table3410111213181422[[#This Row],[  45-49 ]]-Table3410112[[#This Row],[  45-49 ]]</f>
        <v>14653</v>
      </c>
      <c r="L67" s="5">
        <f>Table3410111213181422[[#This Row],[  50-54]]-Table3410112[[#This Row],[  50-54]]</f>
        <v>11114</v>
      </c>
      <c r="M67" s="5">
        <f>Table3410111213181422[[#This Row],[  55-59]]-Table3410112[[#This Row],[  55-59]]</f>
        <v>12987</v>
      </c>
      <c r="N67" s="5">
        <f>Table3410111213181422[[#This Row],[  60-64]]-Table3410112[[#This Row],[  60-64]]</f>
        <v>8378</v>
      </c>
      <c r="O67" s="5">
        <f>Table3410111213181422[[#This Row],[  65-69]]-Table3410112[[#This Row],[  65-69]]</f>
        <v>6803</v>
      </c>
      <c r="P67" s="5">
        <f>Table3410111213181422[[#This Row],[  70-74]]-Table3410112[[#This Row],[  70-74]]</f>
        <v>6198</v>
      </c>
      <c r="Q67" s="5">
        <f>Table3410111213181422[[#This Row],[  75-79]]-Table3410112[[#This Row],[  75-79]]</f>
        <v>-143</v>
      </c>
      <c r="R67" s="5">
        <f>Table3410111213181422[[#This Row],[  80-84]]-Table3410112[[#This Row],[  80-84]]</f>
        <v>1093</v>
      </c>
      <c r="S67" s="5">
        <f>Table3410111213181422[[#This Row],[  85-89]]-Table3410112[[#This Row],[  85-89]]</f>
        <v>674</v>
      </c>
      <c r="T67" s="5">
        <f>Table3410111213181422[[#This Row],[  90+]]-Table3410112[[#This Row],[  90+]]</f>
        <v>1357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1061-F97E-CA4A-83B1-0868A0940305}">
  <dimension ref="A1:U147"/>
  <sheetViews>
    <sheetView workbookViewId="0">
      <selection activeCell="H27" sqref="H27"/>
    </sheetView>
  </sheetViews>
  <sheetFormatPr baseColWidth="10" defaultRowHeight="16" x14ac:dyDescent="0.2"/>
  <sheetData>
    <row r="1" spans="1:21" x14ac:dyDescent="0.2">
      <c r="A1" s="16" t="s">
        <v>70</v>
      </c>
      <c r="B1" s="17"/>
      <c r="C1" s="17"/>
      <c r="D1" s="17"/>
      <c r="E1" s="17"/>
    </row>
    <row r="3" spans="1:21" x14ac:dyDescent="0.2">
      <c r="A3" s="18" t="s">
        <v>43</v>
      </c>
      <c r="B3" s="18"/>
      <c r="C3" s="41" t="s">
        <v>44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2">
      <c r="A4" s="18" t="s">
        <v>45</v>
      </c>
      <c r="B4" s="18" t="s">
        <v>42</v>
      </c>
      <c r="C4" s="19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8" t="s">
        <v>53</v>
      </c>
      <c r="K4" s="18" t="s">
        <v>54</v>
      </c>
      <c r="L4" s="18" t="s">
        <v>55</v>
      </c>
      <c r="M4" s="18" t="s">
        <v>56</v>
      </c>
      <c r="N4" s="18" t="s">
        <v>57</v>
      </c>
      <c r="O4" s="18" t="s">
        <v>58</v>
      </c>
      <c r="P4" s="18" t="s">
        <v>59</v>
      </c>
      <c r="Q4" s="18" t="s">
        <v>60</v>
      </c>
      <c r="R4" s="18" t="s">
        <v>61</v>
      </c>
      <c r="S4" s="18" t="s">
        <v>62</v>
      </c>
      <c r="T4" s="18" t="s">
        <v>63</v>
      </c>
      <c r="U4" s="18" t="s">
        <v>64</v>
      </c>
    </row>
    <row r="5" spans="1:21" x14ac:dyDescent="0.2">
      <c r="A5" s="18" t="s">
        <v>0</v>
      </c>
      <c r="B5" s="20" t="s">
        <v>1</v>
      </c>
      <c r="C5" s="21">
        <v>16671</v>
      </c>
      <c r="D5" s="21"/>
      <c r="E5" s="21">
        <v>2185</v>
      </c>
      <c r="F5" s="21">
        <v>1862</v>
      </c>
      <c r="G5" s="21">
        <v>2330</v>
      </c>
      <c r="H5" s="21">
        <v>1843</v>
      </c>
      <c r="I5" s="21">
        <v>1493</v>
      </c>
      <c r="J5" s="21">
        <v>1121</v>
      </c>
      <c r="K5" s="21">
        <v>1068</v>
      </c>
      <c r="L5" s="21">
        <v>1091</v>
      </c>
      <c r="M5" s="21">
        <v>986</v>
      </c>
      <c r="N5" s="21">
        <v>982</v>
      </c>
      <c r="O5" s="21">
        <v>726</v>
      </c>
      <c r="P5" s="21">
        <v>433</v>
      </c>
      <c r="Q5" s="21">
        <v>292</v>
      </c>
      <c r="R5" s="21">
        <v>157</v>
      </c>
      <c r="S5" s="21">
        <v>74</v>
      </c>
      <c r="T5" s="22">
        <v>28</v>
      </c>
      <c r="U5" s="22"/>
    </row>
    <row r="6" spans="1:21" x14ac:dyDescent="0.2">
      <c r="A6" s="18" t="s">
        <v>0</v>
      </c>
      <c r="B6" s="20" t="s">
        <v>2</v>
      </c>
      <c r="C6" s="21">
        <v>29417</v>
      </c>
      <c r="D6" s="21"/>
      <c r="E6" s="21">
        <v>5057</v>
      </c>
      <c r="F6" s="21">
        <v>4086</v>
      </c>
      <c r="G6" s="21">
        <v>3710</v>
      </c>
      <c r="H6" s="21">
        <v>2317</v>
      </c>
      <c r="I6" s="21">
        <v>2115</v>
      </c>
      <c r="J6" s="21">
        <v>1803</v>
      </c>
      <c r="K6" s="21">
        <v>1731</v>
      </c>
      <c r="L6" s="21">
        <v>1698</v>
      </c>
      <c r="M6" s="21">
        <v>1647</v>
      </c>
      <c r="N6" s="21">
        <v>1522</v>
      </c>
      <c r="O6" s="21">
        <v>1328</v>
      </c>
      <c r="P6" s="21">
        <v>988</v>
      </c>
      <c r="Q6" s="21">
        <v>733</v>
      </c>
      <c r="R6" s="21">
        <v>383</v>
      </c>
      <c r="S6" s="21">
        <v>194</v>
      </c>
      <c r="T6" s="21">
        <v>84</v>
      </c>
      <c r="U6" s="22">
        <v>21</v>
      </c>
    </row>
    <row r="7" spans="1:21" x14ac:dyDescent="0.2">
      <c r="A7" s="18" t="s">
        <v>0</v>
      </c>
      <c r="B7" s="20" t="s">
        <v>3</v>
      </c>
      <c r="C7" s="21">
        <v>23781</v>
      </c>
      <c r="D7" s="21"/>
      <c r="E7" s="21">
        <v>4023</v>
      </c>
      <c r="F7" s="21">
        <v>3108</v>
      </c>
      <c r="G7" s="21">
        <v>3304</v>
      </c>
      <c r="H7" s="21">
        <v>2237</v>
      </c>
      <c r="I7" s="21">
        <v>2047</v>
      </c>
      <c r="J7" s="21">
        <v>1537</v>
      </c>
      <c r="K7" s="21">
        <v>1361</v>
      </c>
      <c r="L7" s="21">
        <v>1300</v>
      </c>
      <c r="M7" s="21">
        <v>1417</v>
      </c>
      <c r="N7" s="21">
        <v>1085</v>
      </c>
      <c r="O7" s="21">
        <v>911</v>
      </c>
      <c r="P7" s="21">
        <v>623</v>
      </c>
      <c r="Q7" s="21">
        <v>425</v>
      </c>
      <c r="R7" s="21">
        <v>243</v>
      </c>
      <c r="S7" s="21">
        <v>112</v>
      </c>
      <c r="T7" s="21">
        <v>36</v>
      </c>
      <c r="U7" s="22">
        <v>12</v>
      </c>
    </row>
    <row r="8" spans="1:21" x14ac:dyDescent="0.2">
      <c r="A8" s="18" t="s">
        <v>0</v>
      </c>
      <c r="B8" s="20" t="s">
        <v>4</v>
      </c>
      <c r="C8" s="21">
        <v>16103</v>
      </c>
      <c r="D8" s="21"/>
      <c r="E8" s="21">
        <v>2422</v>
      </c>
      <c r="F8" s="21">
        <v>1949</v>
      </c>
      <c r="G8" s="21">
        <v>2396</v>
      </c>
      <c r="H8" s="21">
        <v>1703</v>
      </c>
      <c r="I8" s="21">
        <v>1440</v>
      </c>
      <c r="J8" s="21">
        <v>938</v>
      </c>
      <c r="K8" s="21">
        <v>942</v>
      </c>
      <c r="L8" s="21">
        <v>995</v>
      </c>
      <c r="M8" s="21">
        <v>935</v>
      </c>
      <c r="N8" s="21">
        <v>840</v>
      </c>
      <c r="O8" s="21">
        <v>602</v>
      </c>
      <c r="P8" s="21">
        <v>424</v>
      </c>
      <c r="Q8" s="21">
        <v>271</v>
      </c>
      <c r="R8" s="21">
        <v>131</v>
      </c>
      <c r="S8" s="21">
        <v>92</v>
      </c>
      <c r="T8" s="21">
        <v>23</v>
      </c>
      <c r="U8" s="22"/>
    </row>
    <row r="9" spans="1:21" x14ac:dyDescent="0.2">
      <c r="A9" s="18" t="s">
        <v>0</v>
      </c>
      <c r="B9" s="20" t="s">
        <v>5</v>
      </c>
      <c r="C9" s="21">
        <v>37986</v>
      </c>
      <c r="D9" s="21"/>
      <c r="E9" s="21">
        <v>6936</v>
      </c>
      <c r="F9" s="21">
        <v>5452</v>
      </c>
      <c r="G9" s="21">
        <v>5464</v>
      </c>
      <c r="H9" s="21">
        <v>3444</v>
      </c>
      <c r="I9" s="21">
        <v>3060</v>
      </c>
      <c r="J9" s="21">
        <v>2166</v>
      </c>
      <c r="K9" s="21">
        <v>2013</v>
      </c>
      <c r="L9" s="21">
        <v>2053</v>
      </c>
      <c r="M9" s="21">
        <v>2165</v>
      </c>
      <c r="N9" s="21">
        <v>1858</v>
      </c>
      <c r="O9" s="21">
        <v>1399</v>
      </c>
      <c r="P9" s="21">
        <v>890</v>
      </c>
      <c r="Q9" s="21">
        <v>560</v>
      </c>
      <c r="R9" s="21">
        <v>317</v>
      </c>
      <c r="S9" s="21">
        <v>146</v>
      </c>
      <c r="T9" s="21">
        <v>51</v>
      </c>
      <c r="U9" s="22">
        <v>12</v>
      </c>
    </row>
    <row r="10" spans="1:21" x14ac:dyDescent="0.2">
      <c r="A10" s="18" t="s">
        <v>0</v>
      </c>
      <c r="B10" s="20" t="s">
        <v>6</v>
      </c>
      <c r="C10" s="21">
        <v>20581</v>
      </c>
      <c r="D10" s="21"/>
      <c r="E10" s="21">
        <v>3606</v>
      </c>
      <c r="F10" s="21">
        <v>2864</v>
      </c>
      <c r="G10" s="21">
        <v>2665</v>
      </c>
      <c r="H10" s="21">
        <v>1791</v>
      </c>
      <c r="I10" s="21">
        <v>1491</v>
      </c>
      <c r="J10" s="21">
        <v>1224</v>
      </c>
      <c r="K10" s="21">
        <v>1137</v>
      </c>
      <c r="L10" s="21">
        <v>1165</v>
      </c>
      <c r="M10" s="21">
        <v>1104</v>
      </c>
      <c r="N10" s="21">
        <v>1058</v>
      </c>
      <c r="O10" s="21">
        <v>930</v>
      </c>
      <c r="P10" s="21">
        <v>666</v>
      </c>
      <c r="Q10" s="21">
        <v>482</v>
      </c>
      <c r="R10" s="21">
        <v>205</v>
      </c>
      <c r="S10" s="21">
        <v>137</v>
      </c>
      <c r="T10" s="21">
        <v>44</v>
      </c>
      <c r="U10" s="22">
        <v>12</v>
      </c>
    </row>
    <row r="11" spans="1:21" x14ac:dyDescent="0.2">
      <c r="A11" s="18" t="s">
        <v>0</v>
      </c>
      <c r="B11" s="20" t="s">
        <v>7</v>
      </c>
      <c r="C11" s="21">
        <v>11774</v>
      </c>
      <c r="D11" s="21"/>
      <c r="E11" s="21">
        <v>1900</v>
      </c>
      <c r="F11" s="21">
        <v>1518</v>
      </c>
      <c r="G11" s="21">
        <v>1609</v>
      </c>
      <c r="H11" s="21">
        <v>1066</v>
      </c>
      <c r="I11" s="21">
        <v>1019</v>
      </c>
      <c r="J11" s="21">
        <v>741</v>
      </c>
      <c r="K11" s="21">
        <v>762</v>
      </c>
      <c r="L11" s="21">
        <v>681</v>
      </c>
      <c r="M11" s="21">
        <v>642</v>
      </c>
      <c r="N11" s="21">
        <v>605</v>
      </c>
      <c r="O11" s="21">
        <v>511</v>
      </c>
      <c r="P11" s="21">
        <v>319</v>
      </c>
      <c r="Q11" s="21">
        <v>216</v>
      </c>
      <c r="R11" s="21">
        <v>113</v>
      </c>
      <c r="S11" s="21">
        <v>54</v>
      </c>
      <c r="T11" s="21">
        <v>18</v>
      </c>
      <c r="U11" s="22"/>
    </row>
    <row r="12" spans="1:21" x14ac:dyDescent="0.2">
      <c r="A12" s="18" t="s">
        <v>0</v>
      </c>
      <c r="B12" s="20" t="s">
        <v>8</v>
      </c>
      <c r="C12" s="21">
        <v>18253</v>
      </c>
      <c r="D12" s="21"/>
      <c r="E12" s="21">
        <v>3066</v>
      </c>
      <c r="F12" s="21">
        <v>2571</v>
      </c>
      <c r="G12" s="21">
        <v>2297</v>
      </c>
      <c r="H12" s="21">
        <v>1467</v>
      </c>
      <c r="I12" s="21">
        <v>1458</v>
      </c>
      <c r="J12" s="21">
        <v>1090</v>
      </c>
      <c r="K12" s="21">
        <v>1016</v>
      </c>
      <c r="L12" s="21">
        <v>1081</v>
      </c>
      <c r="M12" s="21">
        <v>1049</v>
      </c>
      <c r="N12" s="21">
        <v>952</v>
      </c>
      <c r="O12" s="21">
        <v>887</v>
      </c>
      <c r="P12" s="21">
        <v>562</v>
      </c>
      <c r="Q12" s="21">
        <v>372</v>
      </c>
      <c r="R12" s="21">
        <v>208</v>
      </c>
      <c r="S12" s="21">
        <v>111</v>
      </c>
      <c r="T12" s="21">
        <v>51</v>
      </c>
      <c r="U12" s="22">
        <v>15</v>
      </c>
    </row>
    <row r="13" spans="1:21" x14ac:dyDescent="0.2">
      <c r="A13" s="18" t="s">
        <v>0</v>
      </c>
      <c r="B13" s="20" t="s">
        <v>9</v>
      </c>
      <c r="C13" s="21">
        <v>15364</v>
      </c>
      <c r="D13" s="21"/>
      <c r="E13" s="21">
        <v>2859</v>
      </c>
      <c r="F13" s="21">
        <v>2205</v>
      </c>
      <c r="G13" s="21">
        <v>2143</v>
      </c>
      <c r="H13" s="21">
        <v>1381</v>
      </c>
      <c r="I13" s="21">
        <v>1155</v>
      </c>
      <c r="J13" s="21">
        <v>860</v>
      </c>
      <c r="K13" s="21">
        <v>818</v>
      </c>
      <c r="L13" s="21">
        <v>820</v>
      </c>
      <c r="M13" s="21">
        <v>771</v>
      </c>
      <c r="N13" s="21">
        <v>718</v>
      </c>
      <c r="O13" s="21">
        <v>610</v>
      </c>
      <c r="P13" s="21">
        <v>426</v>
      </c>
      <c r="Q13" s="21">
        <v>302</v>
      </c>
      <c r="R13" s="21">
        <v>169</v>
      </c>
      <c r="S13" s="21">
        <v>89</v>
      </c>
      <c r="T13" s="21">
        <v>27</v>
      </c>
      <c r="U13" s="22">
        <v>11</v>
      </c>
    </row>
    <row r="14" spans="1:21" x14ac:dyDescent="0.2">
      <c r="A14" s="18" t="s">
        <v>0</v>
      </c>
      <c r="B14" s="20" t="s">
        <v>10</v>
      </c>
      <c r="C14" s="21">
        <v>7103</v>
      </c>
      <c r="D14" s="21"/>
      <c r="E14" s="21">
        <v>1312</v>
      </c>
      <c r="F14" s="21">
        <v>1020</v>
      </c>
      <c r="G14" s="21">
        <v>932</v>
      </c>
      <c r="H14" s="21">
        <v>602</v>
      </c>
      <c r="I14" s="21">
        <v>507</v>
      </c>
      <c r="J14" s="21">
        <v>426</v>
      </c>
      <c r="K14" s="21">
        <v>361</v>
      </c>
      <c r="L14" s="21">
        <v>414</v>
      </c>
      <c r="M14" s="21">
        <v>413</v>
      </c>
      <c r="N14" s="21">
        <v>368</v>
      </c>
      <c r="O14" s="21">
        <v>295</v>
      </c>
      <c r="P14" s="21">
        <v>184</v>
      </c>
      <c r="Q14" s="21">
        <v>124</v>
      </c>
      <c r="R14" s="21">
        <v>89</v>
      </c>
      <c r="S14" s="21">
        <v>45</v>
      </c>
      <c r="T14" s="21">
        <v>11</v>
      </c>
      <c r="U14" s="22"/>
    </row>
    <row r="15" spans="1:21" x14ac:dyDescent="0.2">
      <c r="A15" s="18" t="s">
        <v>0</v>
      </c>
      <c r="B15" s="20" t="s">
        <v>11</v>
      </c>
      <c r="C15" s="21">
        <v>30972</v>
      </c>
      <c r="D15" s="21"/>
      <c r="E15" s="21">
        <v>5480</v>
      </c>
      <c r="F15" s="21">
        <v>4207</v>
      </c>
      <c r="G15" s="21">
        <v>3675</v>
      </c>
      <c r="H15" s="21">
        <v>2289</v>
      </c>
      <c r="I15" s="21">
        <v>2279</v>
      </c>
      <c r="J15" s="21">
        <v>1764</v>
      </c>
      <c r="K15" s="21">
        <v>1594</v>
      </c>
      <c r="L15" s="21">
        <v>1701</v>
      </c>
      <c r="M15" s="21">
        <v>1837</v>
      </c>
      <c r="N15" s="21">
        <v>1811</v>
      </c>
      <c r="O15" s="21">
        <v>1587</v>
      </c>
      <c r="P15" s="21">
        <v>1144</v>
      </c>
      <c r="Q15" s="21">
        <v>778</v>
      </c>
      <c r="R15" s="21">
        <v>449</v>
      </c>
      <c r="S15" s="21">
        <v>240</v>
      </c>
      <c r="T15" s="21">
        <v>101</v>
      </c>
      <c r="U15" s="22">
        <v>36</v>
      </c>
    </row>
    <row r="16" spans="1:21" x14ac:dyDescent="0.2">
      <c r="A16" s="18" t="s">
        <v>0</v>
      </c>
      <c r="B16" s="20" t="s">
        <v>12</v>
      </c>
      <c r="C16" s="21">
        <v>2918</v>
      </c>
      <c r="D16" s="21"/>
      <c r="E16" s="21"/>
      <c r="F16" s="21">
        <v>201</v>
      </c>
      <c r="G16" s="21">
        <v>396</v>
      </c>
      <c r="H16" s="21">
        <v>470</v>
      </c>
      <c r="I16" s="21">
        <v>475</v>
      </c>
      <c r="J16" s="21">
        <v>346</v>
      </c>
      <c r="K16" s="21">
        <v>280</v>
      </c>
      <c r="L16" s="21">
        <v>238</v>
      </c>
      <c r="M16" s="21">
        <v>239</v>
      </c>
      <c r="N16" s="21">
        <v>157</v>
      </c>
      <c r="O16" s="21">
        <v>116</v>
      </c>
      <c r="P16" s="21"/>
      <c r="Q16" s="21"/>
      <c r="R16" s="21"/>
      <c r="S16" s="21"/>
      <c r="T16" s="21"/>
      <c r="U16" s="22"/>
    </row>
    <row r="17" spans="1:21" x14ac:dyDescent="0.2">
      <c r="A17" s="18" t="s">
        <v>0</v>
      </c>
      <c r="B17" s="20" t="s">
        <v>13</v>
      </c>
      <c r="C17" s="21">
        <v>2205</v>
      </c>
      <c r="D17" s="21"/>
      <c r="E17" s="21">
        <v>430</v>
      </c>
      <c r="F17" s="21">
        <v>304</v>
      </c>
      <c r="G17" s="21">
        <v>290</v>
      </c>
      <c r="H17" s="21">
        <v>193</v>
      </c>
      <c r="I17" s="21">
        <v>175</v>
      </c>
      <c r="J17" s="21">
        <v>136</v>
      </c>
      <c r="K17" s="21">
        <v>112</v>
      </c>
      <c r="L17" s="21">
        <v>127</v>
      </c>
      <c r="M17" s="21">
        <v>107</v>
      </c>
      <c r="N17" s="21">
        <v>94</v>
      </c>
      <c r="O17" s="21">
        <v>87</v>
      </c>
      <c r="P17" s="21">
        <v>62</v>
      </c>
      <c r="Q17" s="21">
        <v>45</v>
      </c>
      <c r="R17" s="21">
        <v>17</v>
      </c>
      <c r="S17" s="21">
        <v>19</v>
      </c>
      <c r="T17" s="21">
        <v>7</v>
      </c>
      <c r="U17" s="22"/>
    </row>
    <row r="18" spans="1:21" x14ac:dyDescent="0.2">
      <c r="A18" s="18" t="s">
        <v>0</v>
      </c>
      <c r="B18" s="20" t="s">
        <v>14</v>
      </c>
      <c r="C18" s="21">
        <v>15006</v>
      </c>
      <c r="D18" s="21"/>
      <c r="E18" s="21">
        <v>2543</v>
      </c>
      <c r="F18" s="21">
        <v>2080</v>
      </c>
      <c r="G18" s="21">
        <v>2270</v>
      </c>
      <c r="H18" s="21">
        <v>1307</v>
      </c>
      <c r="I18" s="21">
        <v>1244</v>
      </c>
      <c r="J18" s="21">
        <v>969</v>
      </c>
      <c r="K18" s="21">
        <v>819</v>
      </c>
      <c r="L18" s="21">
        <v>781</v>
      </c>
      <c r="M18" s="21">
        <v>714</v>
      </c>
      <c r="N18" s="21">
        <v>677</v>
      </c>
      <c r="O18" s="21">
        <v>555</v>
      </c>
      <c r="P18" s="21">
        <v>410</v>
      </c>
      <c r="Q18" s="21">
        <v>299</v>
      </c>
      <c r="R18" s="21">
        <v>156</v>
      </c>
      <c r="S18" s="21">
        <v>119</v>
      </c>
      <c r="T18" s="21">
        <v>51</v>
      </c>
      <c r="U18" s="22">
        <v>12</v>
      </c>
    </row>
    <row r="19" spans="1:21" x14ac:dyDescent="0.2">
      <c r="A19" s="18" t="s">
        <v>0</v>
      </c>
      <c r="B19" s="20" t="s">
        <v>15</v>
      </c>
      <c r="C19" s="21">
        <v>11800</v>
      </c>
      <c r="D19" s="21"/>
      <c r="E19" s="21">
        <v>1778</v>
      </c>
      <c r="F19" s="21">
        <v>1648</v>
      </c>
      <c r="G19" s="21">
        <v>1490</v>
      </c>
      <c r="H19" s="21">
        <v>939</v>
      </c>
      <c r="I19" s="21">
        <v>892</v>
      </c>
      <c r="J19" s="21">
        <v>654</v>
      </c>
      <c r="K19" s="21">
        <v>655</v>
      </c>
      <c r="L19" s="21">
        <v>695</v>
      </c>
      <c r="M19" s="21">
        <v>684</v>
      </c>
      <c r="N19" s="21">
        <v>619</v>
      </c>
      <c r="O19" s="21">
        <v>621</v>
      </c>
      <c r="P19" s="21">
        <v>523</v>
      </c>
      <c r="Q19" s="21">
        <v>328</v>
      </c>
      <c r="R19" s="21">
        <v>154</v>
      </c>
      <c r="S19" s="21">
        <v>73</v>
      </c>
      <c r="T19" s="21">
        <v>34</v>
      </c>
      <c r="U19" s="22">
        <v>13</v>
      </c>
    </row>
    <row r="20" spans="1:21" x14ac:dyDescent="0.2">
      <c r="A20" s="18" t="s">
        <v>0</v>
      </c>
      <c r="B20" s="20" t="s">
        <v>16</v>
      </c>
      <c r="C20" s="21">
        <v>10180</v>
      </c>
      <c r="D20" s="21"/>
      <c r="E20" s="21">
        <v>1996</v>
      </c>
      <c r="F20" s="21">
        <v>1491</v>
      </c>
      <c r="G20" s="21">
        <v>1254</v>
      </c>
      <c r="H20" s="21">
        <v>810</v>
      </c>
      <c r="I20" s="21">
        <v>782</v>
      </c>
      <c r="J20" s="21">
        <v>592</v>
      </c>
      <c r="K20" s="21">
        <v>573</v>
      </c>
      <c r="L20" s="21">
        <v>548</v>
      </c>
      <c r="M20" s="21">
        <v>522</v>
      </c>
      <c r="N20" s="21">
        <v>505</v>
      </c>
      <c r="O20" s="21">
        <v>411</v>
      </c>
      <c r="P20" s="21">
        <v>301</v>
      </c>
      <c r="Q20" s="21">
        <v>209</v>
      </c>
      <c r="R20" s="21">
        <v>102</v>
      </c>
      <c r="S20" s="21">
        <v>62</v>
      </c>
      <c r="T20" s="21">
        <v>22</v>
      </c>
      <c r="U20" s="22"/>
    </row>
    <row r="21" spans="1:21" x14ac:dyDescent="0.2">
      <c r="A21" s="18" t="s">
        <v>0</v>
      </c>
      <c r="B21" s="20" t="s">
        <v>17</v>
      </c>
      <c r="C21" s="21">
        <v>43269</v>
      </c>
      <c r="D21" s="21"/>
      <c r="E21" s="21">
        <v>7763</v>
      </c>
      <c r="F21" s="21">
        <v>5799</v>
      </c>
      <c r="G21" s="21">
        <v>5898</v>
      </c>
      <c r="H21" s="21">
        <v>3828</v>
      </c>
      <c r="I21" s="21">
        <v>3429</v>
      </c>
      <c r="J21" s="21">
        <v>2688</v>
      </c>
      <c r="K21" s="21">
        <v>2496</v>
      </c>
      <c r="L21" s="21">
        <v>2364</v>
      </c>
      <c r="M21" s="21">
        <v>2300</v>
      </c>
      <c r="N21" s="21">
        <v>2159</v>
      </c>
      <c r="O21" s="21">
        <v>1722</v>
      </c>
      <c r="P21" s="21">
        <v>1266</v>
      </c>
      <c r="Q21" s="21">
        <v>785</v>
      </c>
      <c r="R21" s="21">
        <v>445</v>
      </c>
      <c r="S21" s="21">
        <v>225</v>
      </c>
      <c r="T21" s="21">
        <v>78</v>
      </c>
      <c r="U21" s="22">
        <v>24</v>
      </c>
    </row>
    <row r="22" spans="1:21" x14ac:dyDescent="0.2">
      <c r="A22" s="18" t="s">
        <v>0</v>
      </c>
      <c r="B22" s="20" t="s">
        <v>18</v>
      </c>
      <c r="C22" s="21">
        <v>3933</v>
      </c>
      <c r="D22" s="21"/>
      <c r="E22" s="21">
        <v>678</v>
      </c>
      <c r="F22" s="21">
        <v>562</v>
      </c>
      <c r="G22" s="21">
        <v>530</v>
      </c>
      <c r="H22" s="21">
        <v>307</v>
      </c>
      <c r="I22" s="21">
        <v>290</v>
      </c>
      <c r="J22" s="21">
        <v>239</v>
      </c>
      <c r="K22" s="21">
        <v>233</v>
      </c>
      <c r="L22" s="21">
        <v>211</v>
      </c>
      <c r="M22" s="21">
        <v>204</v>
      </c>
      <c r="N22" s="21">
        <v>196</v>
      </c>
      <c r="O22" s="21">
        <v>170</v>
      </c>
      <c r="P22" s="21">
        <v>143</v>
      </c>
      <c r="Q22" s="21">
        <v>80</v>
      </c>
      <c r="R22" s="21">
        <v>50</v>
      </c>
      <c r="S22" s="21">
        <v>25</v>
      </c>
      <c r="T22" s="21">
        <v>15</v>
      </c>
      <c r="U22" s="22"/>
    </row>
    <row r="23" spans="1:21" x14ac:dyDescent="0.2">
      <c r="A23" s="18" t="s">
        <v>0</v>
      </c>
      <c r="B23" s="20" t="s">
        <v>19</v>
      </c>
      <c r="C23" s="21">
        <v>25124</v>
      </c>
      <c r="D23" s="21"/>
      <c r="E23" s="21">
        <v>4313</v>
      </c>
      <c r="F23" s="21">
        <v>3554</v>
      </c>
      <c r="G23" s="21">
        <v>3504</v>
      </c>
      <c r="H23" s="21">
        <v>2424</v>
      </c>
      <c r="I23" s="21">
        <v>2077</v>
      </c>
      <c r="J23" s="21">
        <v>1546</v>
      </c>
      <c r="K23" s="21">
        <v>1429</v>
      </c>
      <c r="L23" s="21">
        <v>1452</v>
      </c>
      <c r="M23" s="21">
        <v>1447</v>
      </c>
      <c r="N23" s="21">
        <v>1252</v>
      </c>
      <c r="O23" s="21">
        <v>899</v>
      </c>
      <c r="P23" s="21">
        <v>545</v>
      </c>
      <c r="Q23" s="21">
        <v>320</v>
      </c>
      <c r="R23" s="21">
        <v>210</v>
      </c>
      <c r="S23" s="21">
        <v>106</v>
      </c>
      <c r="T23" s="21">
        <v>38</v>
      </c>
      <c r="U23" s="22">
        <v>8</v>
      </c>
    </row>
    <row r="24" spans="1:21" x14ac:dyDescent="0.2">
      <c r="A24" s="18" t="s">
        <v>0</v>
      </c>
      <c r="B24" s="20" t="s">
        <v>20</v>
      </c>
      <c r="C24" s="21">
        <v>1761</v>
      </c>
      <c r="D24" s="21"/>
      <c r="E24" s="21">
        <v>297</v>
      </c>
      <c r="F24" s="21">
        <v>249</v>
      </c>
      <c r="G24" s="21">
        <v>195</v>
      </c>
      <c r="H24" s="21">
        <v>135</v>
      </c>
      <c r="I24" s="21">
        <v>143</v>
      </c>
      <c r="J24" s="21">
        <v>90</v>
      </c>
      <c r="K24" s="21">
        <v>96</v>
      </c>
      <c r="L24" s="21">
        <v>88</v>
      </c>
      <c r="M24" s="21">
        <v>93</v>
      </c>
      <c r="N24" s="21">
        <v>121</v>
      </c>
      <c r="O24" s="21">
        <v>111</v>
      </c>
      <c r="P24" s="21">
        <v>59</v>
      </c>
      <c r="Q24" s="21">
        <v>46</v>
      </c>
      <c r="R24" s="21">
        <v>21</v>
      </c>
      <c r="S24" s="21">
        <v>11</v>
      </c>
      <c r="T24" s="21">
        <v>6</v>
      </c>
      <c r="U24" s="22"/>
    </row>
    <row r="25" spans="1:21" x14ac:dyDescent="0.2">
      <c r="A25" s="18" t="s">
        <v>0</v>
      </c>
      <c r="B25" s="20" t="s">
        <v>21</v>
      </c>
      <c r="C25" s="21">
        <v>8162</v>
      </c>
      <c r="D25" s="21"/>
      <c r="E25" s="21">
        <v>1440</v>
      </c>
      <c r="F25" s="21">
        <v>1088</v>
      </c>
      <c r="G25" s="21">
        <v>1018</v>
      </c>
      <c r="H25" s="21">
        <v>650</v>
      </c>
      <c r="I25" s="21">
        <v>631</v>
      </c>
      <c r="J25" s="21">
        <v>465</v>
      </c>
      <c r="K25" s="21">
        <v>462</v>
      </c>
      <c r="L25" s="21">
        <v>444</v>
      </c>
      <c r="M25" s="21">
        <v>464</v>
      </c>
      <c r="N25" s="21">
        <v>453</v>
      </c>
      <c r="O25" s="21">
        <v>363</v>
      </c>
      <c r="P25" s="21">
        <v>287</v>
      </c>
      <c r="Q25" s="21">
        <v>199</v>
      </c>
      <c r="R25" s="21">
        <v>110</v>
      </c>
      <c r="S25" s="21">
        <v>58</v>
      </c>
      <c r="T25" s="21">
        <v>19</v>
      </c>
      <c r="U25" s="22">
        <v>11</v>
      </c>
    </row>
    <row r="26" spans="1:21" x14ac:dyDescent="0.2">
      <c r="A26" s="18" t="s">
        <v>0</v>
      </c>
      <c r="B26" s="18" t="s">
        <v>22</v>
      </c>
      <c r="C26" s="21">
        <v>352363</v>
      </c>
      <c r="D26" s="21"/>
      <c r="E26" s="21">
        <v>60084</v>
      </c>
      <c r="F26" s="21">
        <v>47818</v>
      </c>
      <c r="G26" s="21">
        <v>47370</v>
      </c>
      <c r="H26" s="21">
        <v>31203</v>
      </c>
      <c r="I26" s="21">
        <v>28202</v>
      </c>
      <c r="J26" s="21">
        <v>21395</v>
      </c>
      <c r="K26" s="21">
        <v>19958</v>
      </c>
      <c r="L26" s="21">
        <v>19947</v>
      </c>
      <c r="M26" s="21">
        <v>19740</v>
      </c>
      <c r="N26" s="21">
        <v>18032</v>
      </c>
      <c r="O26" s="21">
        <v>14841</v>
      </c>
      <c r="P26" s="21">
        <v>10255</v>
      </c>
      <c r="Q26" s="21">
        <v>6866</v>
      </c>
      <c r="R26" s="21">
        <v>3729</v>
      </c>
      <c r="S26" s="21">
        <v>1992</v>
      </c>
      <c r="T26" s="21">
        <v>744</v>
      </c>
      <c r="U26" s="22">
        <v>187</v>
      </c>
    </row>
    <row r="27" spans="1:21" x14ac:dyDescent="0.2">
      <c r="A27" s="18" t="s">
        <v>23</v>
      </c>
      <c r="B27" s="20" t="s">
        <v>1</v>
      </c>
      <c r="C27" s="21">
        <v>16563</v>
      </c>
      <c r="D27" s="21"/>
      <c r="E27" s="21">
        <v>1964</v>
      </c>
      <c r="F27" s="21">
        <v>1801</v>
      </c>
      <c r="G27" s="21">
        <v>2471</v>
      </c>
      <c r="H27" s="21">
        <v>1797</v>
      </c>
      <c r="I27" s="21">
        <v>1588</v>
      </c>
      <c r="J27" s="21">
        <v>1180</v>
      </c>
      <c r="K27" s="21">
        <v>1034</v>
      </c>
      <c r="L27" s="21">
        <v>1104</v>
      </c>
      <c r="M27" s="21">
        <v>1129</v>
      </c>
      <c r="N27" s="21">
        <v>1000</v>
      </c>
      <c r="O27" s="21">
        <v>816</v>
      </c>
      <c r="P27" s="21">
        <v>574</v>
      </c>
      <c r="Q27" s="21">
        <v>343</v>
      </c>
      <c r="R27" s="21">
        <v>167</v>
      </c>
      <c r="S27" s="21">
        <v>118</v>
      </c>
      <c r="T27" s="22">
        <v>53</v>
      </c>
      <c r="U27" s="22">
        <v>31</v>
      </c>
    </row>
    <row r="28" spans="1:21" x14ac:dyDescent="0.2">
      <c r="A28" s="18" t="s">
        <v>23</v>
      </c>
      <c r="B28" s="20" t="s">
        <v>2</v>
      </c>
      <c r="C28" s="21">
        <v>29663</v>
      </c>
      <c r="D28" s="21"/>
      <c r="E28" s="21">
        <v>4654</v>
      </c>
      <c r="F28" s="21">
        <v>3852</v>
      </c>
      <c r="G28" s="21">
        <v>3639</v>
      </c>
      <c r="H28" s="21">
        <v>2517</v>
      </c>
      <c r="I28" s="21">
        <v>2310</v>
      </c>
      <c r="J28" s="21">
        <v>1975</v>
      </c>
      <c r="K28" s="21">
        <v>1922</v>
      </c>
      <c r="L28" s="21">
        <v>1893</v>
      </c>
      <c r="M28" s="21">
        <v>1864</v>
      </c>
      <c r="N28" s="21">
        <v>1810</v>
      </c>
      <c r="O28" s="21">
        <v>1600</v>
      </c>
      <c r="P28" s="21">
        <v>1231</v>
      </c>
      <c r="Q28" s="21">
        <v>808</v>
      </c>
      <c r="R28" s="21">
        <v>467</v>
      </c>
      <c r="S28" s="21">
        <v>304</v>
      </c>
      <c r="T28" s="21">
        <v>133</v>
      </c>
      <c r="U28" s="22">
        <v>55</v>
      </c>
    </row>
    <row r="29" spans="1:21" x14ac:dyDescent="0.2">
      <c r="A29" s="18" t="s">
        <v>23</v>
      </c>
      <c r="B29" s="20" t="s">
        <v>3</v>
      </c>
      <c r="C29" s="21">
        <v>22400</v>
      </c>
      <c r="D29" s="21"/>
      <c r="E29" s="21">
        <v>3758</v>
      </c>
      <c r="F29" s="21">
        <v>2930</v>
      </c>
      <c r="G29" s="21">
        <v>3298</v>
      </c>
      <c r="H29" s="21">
        <v>2218</v>
      </c>
      <c r="I29" s="21">
        <v>2069</v>
      </c>
      <c r="J29" s="21">
        <v>1493</v>
      </c>
      <c r="K29" s="21">
        <v>1427</v>
      </c>
      <c r="L29" s="21">
        <v>1433</v>
      </c>
      <c r="M29" s="21">
        <v>1448</v>
      </c>
      <c r="N29" s="21">
        <v>1217</v>
      </c>
      <c r="O29" s="21">
        <v>976</v>
      </c>
      <c r="P29" s="21">
        <v>640</v>
      </c>
      <c r="Q29" s="21">
        <v>460</v>
      </c>
      <c r="R29" s="21">
        <v>254</v>
      </c>
      <c r="S29" s="21">
        <v>134</v>
      </c>
      <c r="T29" s="21">
        <v>55</v>
      </c>
      <c r="U29" s="22">
        <v>30</v>
      </c>
    </row>
    <row r="30" spans="1:21" x14ac:dyDescent="0.2">
      <c r="A30" s="18" t="s">
        <v>23</v>
      </c>
      <c r="B30" s="20" t="s">
        <v>4</v>
      </c>
      <c r="C30" s="21">
        <v>16322</v>
      </c>
      <c r="D30" s="21"/>
      <c r="E30" s="21">
        <v>2246</v>
      </c>
      <c r="F30" s="21">
        <v>1830</v>
      </c>
      <c r="G30" s="21">
        <v>2673</v>
      </c>
      <c r="H30" s="21">
        <v>1756</v>
      </c>
      <c r="I30" s="21">
        <v>1402</v>
      </c>
      <c r="J30" s="21">
        <v>1037</v>
      </c>
      <c r="K30" s="21">
        <v>1035</v>
      </c>
      <c r="L30" s="21">
        <v>1097</v>
      </c>
      <c r="M30" s="21">
        <v>1063</v>
      </c>
      <c r="N30" s="21">
        <v>888</v>
      </c>
      <c r="O30" s="21">
        <v>712</v>
      </c>
      <c r="P30" s="21">
        <v>459</v>
      </c>
      <c r="Q30" s="21">
        <v>307</v>
      </c>
      <c r="R30" s="21">
        <v>187</v>
      </c>
      <c r="S30" s="21">
        <v>130</v>
      </c>
      <c r="T30" s="21">
        <v>40</v>
      </c>
      <c r="U30" s="22">
        <v>21</v>
      </c>
    </row>
    <row r="31" spans="1:21" x14ac:dyDescent="0.2">
      <c r="A31" s="18" t="s">
        <v>23</v>
      </c>
      <c r="B31" s="20" t="s">
        <v>5</v>
      </c>
      <c r="C31" s="21">
        <v>40752</v>
      </c>
      <c r="D31" s="21"/>
      <c r="E31" s="21">
        <v>6555</v>
      </c>
      <c r="F31" s="21">
        <v>5154</v>
      </c>
      <c r="G31" s="21">
        <v>5557</v>
      </c>
      <c r="H31" s="21">
        <v>4031</v>
      </c>
      <c r="I31" s="21">
        <v>3691</v>
      </c>
      <c r="J31" s="21">
        <v>2672</v>
      </c>
      <c r="K31" s="21">
        <v>2467</v>
      </c>
      <c r="L31" s="21">
        <v>2468</v>
      </c>
      <c r="M31" s="21">
        <v>2564</v>
      </c>
      <c r="N31" s="21">
        <v>2162</v>
      </c>
      <c r="O31" s="21">
        <v>1703</v>
      </c>
      <c r="P31" s="21">
        <v>1174</v>
      </c>
      <c r="Q31" s="21">
        <v>778</v>
      </c>
      <c r="R31" s="21">
        <v>410</v>
      </c>
      <c r="S31" s="21">
        <v>257</v>
      </c>
      <c r="T31" s="21">
        <v>87</v>
      </c>
      <c r="U31" s="22">
        <v>35</v>
      </c>
    </row>
    <row r="32" spans="1:21" x14ac:dyDescent="0.2">
      <c r="A32" s="18" t="s">
        <v>23</v>
      </c>
      <c r="B32" s="20" t="s">
        <v>6</v>
      </c>
      <c r="C32" s="21">
        <v>21757</v>
      </c>
      <c r="D32" s="21"/>
      <c r="E32" s="21">
        <v>3471</v>
      </c>
      <c r="F32" s="21">
        <v>2929</v>
      </c>
      <c r="G32" s="21">
        <v>2708</v>
      </c>
      <c r="H32" s="21">
        <v>1865</v>
      </c>
      <c r="I32" s="21">
        <v>1790</v>
      </c>
      <c r="J32" s="21">
        <v>1388</v>
      </c>
      <c r="K32" s="21">
        <v>1344</v>
      </c>
      <c r="L32" s="21">
        <v>1382</v>
      </c>
      <c r="M32" s="21">
        <v>1363</v>
      </c>
      <c r="N32" s="21">
        <v>1265</v>
      </c>
      <c r="O32" s="21">
        <v>1139</v>
      </c>
      <c r="P32" s="21">
        <v>809</v>
      </c>
      <c r="Q32" s="21">
        <v>565</v>
      </c>
      <c r="R32" s="21">
        <v>321</v>
      </c>
      <c r="S32" s="21">
        <v>168</v>
      </c>
      <c r="T32" s="21">
        <v>93</v>
      </c>
      <c r="U32" s="22">
        <v>25</v>
      </c>
    </row>
    <row r="33" spans="1:21" x14ac:dyDescent="0.2">
      <c r="A33" s="18" t="s">
        <v>23</v>
      </c>
      <c r="B33" s="20" t="s">
        <v>7</v>
      </c>
      <c r="C33" s="21">
        <v>11589</v>
      </c>
      <c r="D33" s="21"/>
      <c r="E33" s="21">
        <v>1747</v>
      </c>
      <c r="F33" s="21">
        <v>1356</v>
      </c>
      <c r="G33" s="21">
        <v>1508</v>
      </c>
      <c r="H33" s="21">
        <v>1119</v>
      </c>
      <c r="I33" s="21">
        <v>1001</v>
      </c>
      <c r="J33" s="21">
        <v>876</v>
      </c>
      <c r="K33" s="21">
        <v>779</v>
      </c>
      <c r="L33" s="21">
        <v>797</v>
      </c>
      <c r="M33" s="21">
        <v>753</v>
      </c>
      <c r="N33" s="21">
        <v>634</v>
      </c>
      <c r="O33" s="21">
        <v>567</v>
      </c>
      <c r="P33" s="21">
        <v>400</v>
      </c>
      <c r="Q33" s="21">
        <v>233</v>
      </c>
      <c r="R33" s="21">
        <v>121</v>
      </c>
      <c r="S33" s="21">
        <v>70</v>
      </c>
      <c r="T33" s="21">
        <v>29</v>
      </c>
      <c r="U33" s="22">
        <v>13</v>
      </c>
    </row>
    <row r="34" spans="1:21" x14ac:dyDescent="0.2">
      <c r="A34" s="18" t="s">
        <v>23</v>
      </c>
      <c r="B34" s="20" t="s">
        <v>8</v>
      </c>
      <c r="C34" s="21">
        <v>18765</v>
      </c>
      <c r="D34" s="21"/>
      <c r="E34" s="21">
        <v>2832</v>
      </c>
      <c r="F34" s="21">
        <v>2401</v>
      </c>
      <c r="G34" s="21">
        <v>2256</v>
      </c>
      <c r="H34" s="21">
        <v>1553</v>
      </c>
      <c r="I34" s="21">
        <v>1632</v>
      </c>
      <c r="J34" s="21">
        <v>1302</v>
      </c>
      <c r="K34" s="21">
        <v>1190</v>
      </c>
      <c r="L34" s="21">
        <v>1228</v>
      </c>
      <c r="M34" s="21">
        <v>1240</v>
      </c>
      <c r="N34" s="21">
        <v>1134</v>
      </c>
      <c r="O34" s="21">
        <v>1067</v>
      </c>
      <c r="P34" s="21">
        <v>724</v>
      </c>
      <c r="Q34" s="21">
        <v>519</v>
      </c>
      <c r="R34" s="21">
        <v>287</v>
      </c>
      <c r="S34" s="21">
        <v>180</v>
      </c>
      <c r="T34" s="21">
        <v>75</v>
      </c>
      <c r="U34" s="22">
        <v>32</v>
      </c>
    </row>
    <row r="35" spans="1:21" x14ac:dyDescent="0.2">
      <c r="A35" s="18" t="s">
        <v>23</v>
      </c>
      <c r="B35" s="20" t="s">
        <v>9</v>
      </c>
      <c r="C35" s="21">
        <v>15639</v>
      </c>
      <c r="D35" s="21"/>
      <c r="E35" s="21">
        <v>2769</v>
      </c>
      <c r="F35" s="21">
        <v>2022</v>
      </c>
      <c r="G35" s="21">
        <v>2144</v>
      </c>
      <c r="H35" s="21">
        <v>1363</v>
      </c>
      <c r="I35" s="21">
        <v>1369</v>
      </c>
      <c r="J35" s="21">
        <v>1024</v>
      </c>
      <c r="K35" s="21">
        <v>912</v>
      </c>
      <c r="L35" s="21">
        <v>981</v>
      </c>
      <c r="M35" s="21">
        <v>991</v>
      </c>
      <c r="N35" s="21">
        <v>923</v>
      </c>
      <c r="O35" s="21">
        <v>757</v>
      </c>
      <c r="P35" s="21">
        <v>543</v>
      </c>
      <c r="Q35" s="21">
        <v>385</v>
      </c>
      <c r="R35" s="21">
        <v>209</v>
      </c>
      <c r="S35" s="21">
        <v>130</v>
      </c>
      <c r="T35" s="21">
        <v>66</v>
      </c>
      <c r="U35" s="22">
        <v>21</v>
      </c>
    </row>
    <row r="36" spans="1:21" x14ac:dyDescent="0.2">
      <c r="A36" s="18" t="s">
        <v>23</v>
      </c>
      <c r="B36" s="20" t="s">
        <v>10</v>
      </c>
      <c r="C36" s="21">
        <v>7153</v>
      </c>
      <c r="D36" s="21"/>
      <c r="E36" s="21">
        <v>1202</v>
      </c>
      <c r="F36" s="21">
        <v>957</v>
      </c>
      <c r="G36" s="21">
        <v>845</v>
      </c>
      <c r="H36" s="21">
        <v>554</v>
      </c>
      <c r="I36" s="21">
        <v>572</v>
      </c>
      <c r="J36" s="21">
        <v>481</v>
      </c>
      <c r="K36" s="21">
        <v>411</v>
      </c>
      <c r="L36" s="21">
        <v>449</v>
      </c>
      <c r="M36" s="21">
        <v>496</v>
      </c>
      <c r="N36" s="21">
        <v>467</v>
      </c>
      <c r="O36" s="21">
        <v>410</v>
      </c>
      <c r="P36" s="21">
        <v>266</v>
      </c>
      <c r="Q36" s="21">
        <v>216</v>
      </c>
      <c r="R36" s="21">
        <v>127</v>
      </c>
      <c r="S36" s="21">
        <v>53</v>
      </c>
      <c r="T36" s="21">
        <v>20</v>
      </c>
      <c r="U36" s="22">
        <v>12</v>
      </c>
    </row>
    <row r="37" spans="1:21" x14ac:dyDescent="0.2">
      <c r="A37" s="18" t="s">
        <v>23</v>
      </c>
      <c r="B37" s="20" t="s">
        <v>11</v>
      </c>
      <c r="C37" s="21">
        <v>31605</v>
      </c>
      <c r="D37" s="21"/>
      <c r="E37" s="21">
        <v>5126</v>
      </c>
      <c r="F37" s="21">
        <v>3993</v>
      </c>
      <c r="G37" s="21">
        <v>3531</v>
      </c>
      <c r="H37" s="21">
        <v>2344</v>
      </c>
      <c r="I37" s="21">
        <v>2483</v>
      </c>
      <c r="J37" s="21">
        <v>1911</v>
      </c>
      <c r="K37" s="21">
        <v>1745</v>
      </c>
      <c r="L37" s="21">
        <v>2097</v>
      </c>
      <c r="M37" s="21">
        <v>2131</v>
      </c>
      <c r="N37" s="21">
        <v>2149</v>
      </c>
      <c r="O37" s="21">
        <v>1970</v>
      </c>
      <c r="P37" s="21">
        <v>1461</v>
      </c>
      <c r="Q37" s="21">
        <v>994</v>
      </c>
      <c r="R37" s="21">
        <v>573</v>
      </c>
      <c r="S37" s="21">
        <v>344</v>
      </c>
      <c r="T37" s="21">
        <v>157</v>
      </c>
      <c r="U37" s="22">
        <v>67</v>
      </c>
    </row>
    <row r="38" spans="1:21" x14ac:dyDescent="0.2">
      <c r="A38" s="18" t="s">
        <v>23</v>
      </c>
      <c r="B38" s="20" t="s">
        <v>12</v>
      </c>
      <c r="C38" s="21">
        <v>779</v>
      </c>
      <c r="D38" s="21"/>
      <c r="E38" s="21">
        <v>49</v>
      </c>
      <c r="F38" s="21">
        <v>154</v>
      </c>
      <c r="G38" s="21">
        <v>162</v>
      </c>
      <c r="H38" s="21">
        <v>94</v>
      </c>
      <c r="I38" s="21">
        <v>105</v>
      </c>
      <c r="J38" s="21">
        <v>72</v>
      </c>
      <c r="K38" s="21">
        <v>82</v>
      </c>
      <c r="L38" s="21">
        <v>107</v>
      </c>
      <c r="M38" s="21">
        <v>76</v>
      </c>
      <c r="N38" s="21">
        <v>81</v>
      </c>
      <c r="O38" s="21">
        <v>65</v>
      </c>
      <c r="P38" s="21"/>
      <c r="Q38" s="21"/>
      <c r="R38" s="21"/>
      <c r="S38" s="21"/>
      <c r="T38" s="21"/>
      <c r="U38" s="22"/>
    </row>
    <row r="39" spans="1:21" x14ac:dyDescent="0.2">
      <c r="A39" s="18" t="s">
        <v>23</v>
      </c>
      <c r="B39" s="20" t="s">
        <v>13</v>
      </c>
      <c r="C39" s="21">
        <v>2156</v>
      </c>
      <c r="D39" s="21"/>
      <c r="E39" s="21">
        <v>397</v>
      </c>
      <c r="F39" s="21">
        <v>293</v>
      </c>
      <c r="G39" s="21">
        <v>264</v>
      </c>
      <c r="H39" s="21">
        <v>175</v>
      </c>
      <c r="I39" s="21">
        <v>168</v>
      </c>
      <c r="J39" s="21">
        <v>112</v>
      </c>
      <c r="K39" s="21">
        <v>128</v>
      </c>
      <c r="L39" s="21">
        <v>155</v>
      </c>
      <c r="M39" s="21">
        <v>162</v>
      </c>
      <c r="N39" s="21">
        <v>126</v>
      </c>
      <c r="O39" s="21">
        <v>101</v>
      </c>
      <c r="P39" s="21">
        <v>79</v>
      </c>
      <c r="Q39" s="21">
        <v>60</v>
      </c>
      <c r="R39" s="21">
        <v>26</v>
      </c>
      <c r="S39" s="21">
        <v>18</v>
      </c>
      <c r="T39" s="21">
        <v>9</v>
      </c>
      <c r="U39" s="22"/>
    </row>
    <row r="40" spans="1:21" x14ac:dyDescent="0.2">
      <c r="A40" s="18" t="s">
        <v>23</v>
      </c>
      <c r="B40" s="20" t="s">
        <v>14</v>
      </c>
      <c r="C40" s="21">
        <v>14436</v>
      </c>
      <c r="D40" s="21"/>
      <c r="E40" s="21">
        <v>2425</v>
      </c>
      <c r="F40" s="21">
        <v>1767</v>
      </c>
      <c r="G40" s="21">
        <v>2340</v>
      </c>
      <c r="H40" s="21">
        <v>1217</v>
      </c>
      <c r="I40" s="21">
        <v>1173</v>
      </c>
      <c r="J40" s="21">
        <v>941</v>
      </c>
      <c r="K40" s="21">
        <v>867</v>
      </c>
      <c r="L40" s="21">
        <v>846</v>
      </c>
      <c r="M40" s="21">
        <v>954</v>
      </c>
      <c r="N40" s="21">
        <v>847</v>
      </c>
      <c r="O40" s="21">
        <v>668</v>
      </c>
      <c r="P40" s="21">
        <v>411</v>
      </c>
      <c r="Q40" s="21">
        <v>345</v>
      </c>
      <c r="R40" s="21">
        <v>168</v>
      </c>
      <c r="S40" s="21">
        <v>100</v>
      </c>
      <c r="T40" s="21">
        <v>53</v>
      </c>
      <c r="U40" s="22">
        <v>23</v>
      </c>
    </row>
    <row r="41" spans="1:21" x14ac:dyDescent="0.2">
      <c r="A41" s="18" t="s">
        <v>23</v>
      </c>
      <c r="B41" s="20" t="s">
        <v>15</v>
      </c>
      <c r="C41" s="21">
        <v>12259</v>
      </c>
      <c r="D41" s="21"/>
      <c r="E41" s="21">
        <v>1777</v>
      </c>
      <c r="F41" s="21">
        <v>1511</v>
      </c>
      <c r="G41" s="21">
        <v>1422</v>
      </c>
      <c r="H41" s="21">
        <v>986</v>
      </c>
      <c r="I41" s="21">
        <v>965</v>
      </c>
      <c r="J41" s="21">
        <v>799</v>
      </c>
      <c r="K41" s="21">
        <v>751</v>
      </c>
      <c r="L41" s="21">
        <v>776</v>
      </c>
      <c r="M41" s="21">
        <v>820</v>
      </c>
      <c r="N41" s="21">
        <v>760</v>
      </c>
      <c r="O41" s="21">
        <v>737</v>
      </c>
      <c r="P41" s="21">
        <v>527</v>
      </c>
      <c r="Q41" s="21">
        <v>375</v>
      </c>
      <c r="R41" s="21">
        <v>224</v>
      </c>
      <c r="S41" s="21">
        <v>134</v>
      </c>
      <c r="T41" s="21">
        <v>57</v>
      </c>
      <c r="U41" s="22">
        <v>27</v>
      </c>
    </row>
    <row r="42" spans="1:21" x14ac:dyDescent="0.2">
      <c r="A42" s="18" t="s">
        <v>23</v>
      </c>
      <c r="B42" s="20" t="s">
        <v>16</v>
      </c>
      <c r="C42" s="21">
        <v>10352</v>
      </c>
      <c r="D42" s="21"/>
      <c r="E42" s="21">
        <v>1928</v>
      </c>
      <c r="F42" s="21">
        <v>1352</v>
      </c>
      <c r="G42" s="21">
        <v>1200</v>
      </c>
      <c r="H42" s="21">
        <v>835</v>
      </c>
      <c r="I42" s="21">
        <v>873</v>
      </c>
      <c r="J42" s="21">
        <v>729</v>
      </c>
      <c r="K42" s="21">
        <v>635</v>
      </c>
      <c r="L42" s="21">
        <v>694</v>
      </c>
      <c r="M42" s="21">
        <v>678</v>
      </c>
      <c r="N42" s="21">
        <v>574</v>
      </c>
      <c r="O42" s="21">
        <v>527</v>
      </c>
      <c r="P42" s="21">
        <v>376</v>
      </c>
      <c r="Q42" s="21">
        <v>231</v>
      </c>
      <c r="R42" s="21">
        <v>137</v>
      </c>
      <c r="S42" s="21">
        <v>89</v>
      </c>
      <c r="T42" s="21">
        <v>29</v>
      </c>
      <c r="U42" s="22">
        <v>14</v>
      </c>
    </row>
    <row r="43" spans="1:21" x14ac:dyDescent="0.2">
      <c r="A43" s="18" t="s">
        <v>23</v>
      </c>
      <c r="B43" s="20" t="s">
        <v>17</v>
      </c>
      <c r="C43" s="21">
        <v>43695</v>
      </c>
      <c r="D43" s="21"/>
      <c r="E43" s="21">
        <v>7143</v>
      </c>
      <c r="F43" s="21">
        <v>5643</v>
      </c>
      <c r="G43" s="21">
        <v>5912</v>
      </c>
      <c r="H43" s="21">
        <v>3902</v>
      </c>
      <c r="I43" s="21">
        <v>3783</v>
      </c>
      <c r="J43" s="21">
        <v>2990</v>
      </c>
      <c r="K43" s="21">
        <v>2775</v>
      </c>
      <c r="L43" s="21">
        <v>2733</v>
      </c>
      <c r="M43" s="21">
        <v>2700</v>
      </c>
      <c r="N43" s="21">
        <v>2537</v>
      </c>
      <c r="O43" s="21">
        <v>2194</v>
      </c>
      <c r="P43" s="21">
        <v>1593</v>
      </c>
      <c r="Q43" s="21">
        <v>1047</v>
      </c>
      <c r="R43" s="21">
        <v>585</v>
      </c>
      <c r="S43" s="21">
        <v>322</v>
      </c>
      <c r="T43" s="21">
        <v>149</v>
      </c>
      <c r="U43" s="22">
        <v>72</v>
      </c>
    </row>
    <row r="44" spans="1:21" x14ac:dyDescent="0.2">
      <c r="A44" s="18" t="s">
        <v>23</v>
      </c>
      <c r="B44" s="20" t="s">
        <v>18</v>
      </c>
      <c r="C44" s="21">
        <v>3903</v>
      </c>
      <c r="D44" s="21"/>
      <c r="E44" s="21">
        <v>641</v>
      </c>
      <c r="F44" s="21">
        <v>534</v>
      </c>
      <c r="G44" s="21">
        <v>486</v>
      </c>
      <c r="H44" s="21">
        <v>312</v>
      </c>
      <c r="I44" s="21">
        <v>339</v>
      </c>
      <c r="J44" s="21">
        <v>260</v>
      </c>
      <c r="K44" s="21">
        <v>226</v>
      </c>
      <c r="L44" s="21">
        <v>273</v>
      </c>
      <c r="M44" s="21">
        <v>215</v>
      </c>
      <c r="N44" s="21">
        <v>244</v>
      </c>
      <c r="O44" s="21">
        <v>219</v>
      </c>
      <c r="P44" s="21">
        <v>133</v>
      </c>
      <c r="Q44" s="21">
        <v>99</v>
      </c>
      <c r="R44" s="21">
        <v>66</v>
      </c>
      <c r="S44" s="21">
        <v>33</v>
      </c>
      <c r="T44" s="21">
        <v>15</v>
      </c>
      <c r="U44" s="22">
        <v>8</v>
      </c>
    </row>
    <row r="45" spans="1:21" x14ac:dyDescent="0.2">
      <c r="A45" s="18" t="s">
        <v>23</v>
      </c>
      <c r="B45" s="20" t="s">
        <v>19</v>
      </c>
      <c r="C45" s="21">
        <v>25625</v>
      </c>
      <c r="D45" s="21"/>
      <c r="E45" s="21">
        <v>3995</v>
      </c>
      <c r="F45" s="21">
        <v>3323</v>
      </c>
      <c r="G45" s="21">
        <v>3424</v>
      </c>
      <c r="H45" s="21">
        <v>2474</v>
      </c>
      <c r="I45" s="21">
        <v>2105</v>
      </c>
      <c r="J45" s="21">
        <v>1689</v>
      </c>
      <c r="K45" s="21">
        <v>1570</v>
      </c>
      <c r="L45" s="21">
        <v>1703</v>
      </c>
      <c r="M45" s="21">
        <v>1712</v>
      </c>
      <c r="N45" s="21">
        <v>1389</v>
      </c>
      <c r="O45" s="21">
        <v>1172</v>
      </c>
      <c r="P45" s="21">
        <v>758</v>
      </c>
      <c r="Q45" s="21">
        <v>484</v>
      </c>
      <c r="R45" s="21">
        <v>256</v>
      </c>
      <c r="S45" s="21">
        <v>168</v>
      </c>
      <c r="T45" s="21">
        <v>62</v>
      </c>
      <c r="U45" s="22">
        <v>34</v>
      </c>
    </row>
    <row r="46" spans="1:21" x14ac:dyDescent="0.2">
      <c r="A46" s="18" t="s">
        <v>23</v>
      </c>
      <c r="B46" s="20" t="s">
        <v>20</v>
      </c>
      <c r="C46" s="21">
        <v>1657</v>
      </c>
      <c r="D46" s="21"/>
      <c r="E46" s="21">
        <v>257</v>
      </c>
      <c r="F46" s="21">
        <v>173</v>
      </c>
      <c r="G46" s="21">
        <v>172</v>
      </c>
      <c r="H46" s="21">
        <v>145</v>
      </c>
      <c r="I46" s="21">
        <v>130</v>
      </c>
      <c r="J46" s="21">
        <v>89</v>
      </c>
      <c r="K46" s="21">
        <v>98</v>
      </c>
      <c r="L46" s="21">
        <v>125</v>
      </c>
      <c r="M46" s="21">
        <v>115</v>
      </c>
      <c r="N46" s="21">
        <v>145</v>
      </c>
      <c r="O46" s="21">
        <v>118</v>
      </c>
      <c r="P46" s="21">
        <v>65</v>
      </c>
      <c r="Q46" s="21">
        <v>49</v>
      </c>
      <c r="R46" s="21">
        <v>29</v>
      </c>
      <c r="S46" s="21">
        <v>16</v>
      </c>
      <c r="T46" s="21"/>
      <c r="U46" s="22"/>
    </row>
    <row r="47" spans="1:21" x14ac:dyDescent="0.2">
      <c r="A47" s="18" t="s">
        <v>23</v>
      </c>
      <c r="B47" s="20" t="s">
        <v>21</v>
      </c>
      <c r="C47" s="21">
        <v>8458</v>
      </c>
      <c r="D47" s="21"/>
      <c r="E47" s="21">
        <v>1362</v>
      </c>
      <c r="F47" s="21">
        <v>1028</v>
      </c>
      <c r="G47" s="21">
        <v>986</v>
      </c>
      <c r="H47" s="21">
        <v>721</v>
      </c>
      <c r="I47" s="21">
        <v>679</v>
      </c>
      <c r="J47" s="21">
        <v>579</v>
      </c>
      <c r="K47" s="21">
        <v>462</v>
      </c>
      <c r="L47" s="21">
        <v>562</v>
      </c>
      <c r="M47" s="21">
        <v>572</v>
      </c>
      <c r="N47" s="21">
        <v>511</v>
      </c>
      <c r="O47" s="21">
        <v>481</v>
      </c>
      <c r="P47" s="21">
        <v>347</v>
      </c>
      <c r="Q47" s="21">
        <v>250</v>
      </c>
      <c r="R47" s="21">
        <v>141</v>
      </c>
      <c r="S47" s="21">
        <v>79</v>
      </c>
      <c r="T47" s="21">
        <v>38</v>
      </c>
      <c r="U47" s="22">
        <v>15</v>
      </c>
    </row>
    <row r="48" spans="1:21" x14ac:dyDescent="0.2">
      <c r="A48" s="18" t="s">
        <v>23</v>
      </c>
      <c r="B48" s="18" t="s">
        <v>22</v>
      </c>
      <c r="C48" s="21">
        <v>371249</v>
      </c>
      <c r="D48" s="21"/>
      <c r="E48" s="21">
        <v>56298</v>
      </c>
      <c r="F48" s="21">
        <v>45003</v>
      </c>
      <c r="G48" s="21">
        <v>46998</v>
      </c>
      <c r="H48" s="21">
        <v>31978</v>
      </c>
      <c r="I48" s="21">
        <v>30227</v>
      </c>
      <c r="J48" s="21">
        <v>23599</v>
      </c>
      <c r="K48" s="21">
        <v>21860</v>
      </c>
      <c r="L48" s="21">
        <v>22903</v>
      </c>
      <c r="M48" s="21">
        <v>23046</v>
      </c>
      <c r="N48" s="21">
        <v>20863</v>
      </c>
      <c r="O48" s="21">
        <v>17999</v>
      </c>
      <c r="P48" s="21">
        <v>12570</v>
      </c>
      <c r="Q48" s="21">
        <v>8548</v>
      </c>
      <c r="R48" s="21">
        <v>4755</v>
      </c>
      <c r="S48" s="21">
        <v>2847</v>
      </c>
      <c r="T48" s="21">
        <v>1220</v>
      </c>
      <c r="U48" s="22">
        <v>535</v>
      </c>
    </row>
    <row r="49" spans="1:21" x14ac:dyDescent="0.2">
      <c r="A49" s="18" t="s">
        <v>22</v>
      </c>
      <c r="B49" s="20" t="s">
        <v>1</v>
      </c>
      <c r="C49" s="21">
        <f>SUM(C5,C27)</f>
        <v>33234</v>
      </c>
      <c r="D49" s="21"/>
      <c r="E49" s="21">
        <f t="shared" ref="E49:U49" si="0">SUM(E5,E27)</f>
        <v>4149</v>
      </c>
      <c r="F49" s="21">
        <f t="shared" si="0"/>
        <v>3663</v>
      </c>
      <c r="G49" s="21">
        <f t="shared" si="0"/>
        <v>4801</v>
      </c>
      <c r="H49" s="21">
        <f t="shared" si="0"/>
        <v>3640</v>
      </c>
      <c r="I49" s="21">
        <f t="shared" si="0"/>
        <v>3081</v>
      </c>
      <c r="J49" s="21">
        <f t="shared" si="0"/>
        <v>2301</v>
      </c>
      <c r="K49" s="21">
        <f t="shared" si="0"/>
        <v>2102</v>
      </c>
      <c r="L49" s="21">
        <f t="shared" si="0"/>
        <v>2195</v>
      </c>
      <c r="M49" s="21">
        <f t="shared" si="0"/>
        <v>2115</v>
      </c>
      <c r="N49" s="21">
        <f t="shared" si="0"/>
        <v>1982</v>
      </c>
      <c r="O49" s="21">
        <f t="shared" si="0"/>
        <v>1542</v>
      </c>
      <c r="P49" s="21">
        <f t="shared" si="0"/>
        <v>1007</v>
      </c>
      <c r="Q49" s="21">
        <f t="shared" si="0"/>
        <v>635</v>
      </c>
      <c r="R49" s="21">
        <f t="shared" si="0"/>
        <v>324</v>
      </c>
      <c r="S49" s="21">
        <f t="shared" si="0"/>
        <v>192</v>
      </c>
      <c r="T49" s="21">
        <f t="shared" si="0"/>
        <v>81</v>
      </c>
      <c r="U49" s="21">
        <f t="shared" si="0"/>
        <v>31</v>
      </c>
    </row>
    <row r="50" spans="1:21" x14ac:dyDescent="0.2">
      <c r="A50" s="18" t="s">
        <v>22</v>
      </c>
      <c r="B50" s="20" t="s">
        <v>2</v>
      </c>
      <c r="C50" s="21">
        <f t="shared" ref="C50:C70" si="1">SUM(C6,C28)</f>
        <v>59080</v>
      </c>
      <c r="D50" s="21"/>
      <c r="E50" s="21">
        <f t="shared" ref="E50:U50" si="2">SUM(E6,E28)</f>
        <v>9711</v>
      </c>
      <c r="F50" s="21">
        <f t="shared" si="2"/>
        <v>7938</v>
      </c>
      <c r="G50" s="21">
        <f t="shared" si="2"/>
        <v>7349</v>
      </c>
      <c r="H50" s="21">
        <f t="shared" si="2"/>
        <v>4834</v>
      </c>
      <c r="I50" s="21">
        <f t="shared" si="2"/>
        <v>4425</v>
      </c>
      <c r="J50" s="21">
        <f t="shared" si="2"/>
        <v>3778</v>
      </c>
      <c r="K50" s="21">
        <f t="shared" si="2"/>
        <v>3653</v>
      </c>
      <c r="L50" s="21">
        <f t="shared" si="2"/>
        <v>3591</v>
      </c>
      <c r="M50" s="21">
        <f t="shared" si="2"/>
        <v>3511</v>
      </c>
      <c r="N50" s="21">
        <f t="shared" si="2"/>
        <v>3332</v>
      </c>
      <c r="O50" s="21">
        <f t="shared" si="2"/>
        <v>2928</v>
      </c>
      <c r="P50" s="21">
        <f t="shared" si="2"/>
        <v>2219</v>
      </c>
      <c r="Q50" s="21">
        <f t="shared" si="2"/>
        <v>1541</v>
      </c>
      <c r="R50" s="21">
        <f t="shared" si="2"/>
        <v>850</v>
      </c>
      <c r="S50" s="21">
        <f t="shared" si="2"/>
        <v>498</v>
      </c>
      <c r="T50" s="21">
        <f t="shared" si="2"/>
        <v>217</v>
      </c>
      <c r="U50" s="21">
        <f t="shared" si="2"/>
        <v>76</v>
      </c>
    </row>
    <row r="51" spans="1:21" x14ac:dyDescent="0.2">
      <c r="A51" s="18" t="s">
        <v>22</v>
      </c>
      <c r="B51" s="20" t="s">
        <v>3</v>
      </c>
      <c r="C51" s="21">
        <f t="shared" si="1"/>
        <v>46181</v>
      </c>
      <c r="D51" s="21"/>
      <c r="E51" s="21">
        <f t="shared" ref="E51:U51" si="3">SUM(E7,E29)</f>
        <v>7781</v>
      </c>
      <c r="F51" s="21">
        <f t="shared" si="3"/>
        <v>6038</v>
      </c>
      <c r="G51" s="21">
        <f t="shared" si="3"/>
        <v>6602</v>
      </c>
      <c r="H51" s="21">
        <f t="shared" si="3"/>
        <v>4455</v>
      </c>
      <c r="I51" s="21">
        <f t="shared" si="3"/>
        <v>4116</v>
      </c>
      <c r="J51" s="21">
        <f t="shared" si="3"/>
        <v>3030</v>
      </c>
      <c r="K51" s="21">
        <f t="shared" si="3"/>
        <v>2788</v>
      </c>
      <c r="L51" s="21">
        <f t="shared" si="3"/>
        <v>2733</v>
      </c>
      <c r="M51" s="21">
        <f t="shared" si="3"/>
        <v>2865</v>
      </c>
      <c r="N51" s="21">
        <f t="shared" si="3"/>
        <v>2302</v>
      </c>
      <c r="O51" s="21">
        <f t="shared" si="3"/>
        <v>1887</v>
      </c>
      <c r="P51" s="21">
        <f t="shared" si="3"/>
        <v>1263</v>
      </c>
      <c r="Q51" s="21">
        <f t="shared" si="3"/>
        <v>885</v>
      </c>
      <c r="R51" s="21">
        <f t="shared" si="3"/>
        <v>497</v>
      </c>
      <c r="S51" s="21">
        <f t="shared" si="3"/>
        <v>246</v>
      </c>
      <c r="T51" s="21">
        <f t="shared" si="3"/>
        <v>91</v>
      </c>
      <c r="U51" s="21">
        <f t="shared" si="3"/>
        <v>42</v>
      </c>
    </row>
    <row r="52" spans="1:21" x14ac:dyDescent="0.2">
      <c r="A52" s="18" t="s">
        <v>22</v>
      </c>
      <c r="B52" s="20" t="s">
        <v>4</v>
      </c>
      <c r="C52" s="21">
        <f t="shared" si="1"/>
        <v>32425</v>
      </c>
      <c r="D52" s="21"/>
      <c r="E52" s="21">
        <f t="shared" ref="E52:U52" si="4">SUM(E8,E30)</f>
        <v>4668</v>
      </c>
      <c r="F52" s="21">
        <f t="shared" si="4"/>
        <v>3779</v>
      </c>
      <c r="G52" s="21">
        <f t="shared" si="4"/>
        <v>5069</v>
      </c>
      <c r="H52" s="21">
        <f t="shared" si="4"/>
        <v>3459</v>
      </c>
      <c r="I52" s="21">
        <f t="shared" si="4"/>
        <v>2842</v>
      </c>
      <c r="J52" s="21">
        <f t="shared" si="4"/>
        <v>1975</v>
      </c>
      <c r="K52" s="21">
        <f t="shared" si="4"/>
        <v>1977</v>
      </c>
      <c r="L52" s="21">
        <f t="shared" si="4"/>
        <v>2092</v>
      </c>
      <c r="M52" s="21">
        <f t="shared" si="4"/>
        <v>1998</v>
      </c>
      <c r="N52" s="21">
        <f t="shared" si="4"/>
        <v>1728</v>
      </c>
      <c r="O52" s="21">
        <f t="shared" si="4"/>
        <v>1314</v>
      </c>
      <c r="P52" s="21">
        <f t="shared" si="4"/>
        <v>883</v>
      </c>
      <c r="Q52" s="21">
        <f t="shared" si="4"/>
        <v>578</v>
      </c>
      <c r="R52" s="21">
        <f t="shared" si="4"/>
        <v>318</v>
      </c>
      <c r="S52" s="21">
        <f t="shared" si="4"/>
        <v>222</v>
      </c>
      <c r="T52" s="21">
        <f t="shared" si="4"/>
        <v>63</v>
      </c>
      <c r="U52" s="21">
        <f t="shared" si="4"/>
        <v>21</v>
      </c>
    </row>
    <row r="53" spans="1:21" x14ac:dyDescent="0.2">
      <c r="A53" s="18" t="s">
        <v>22</v>
      </c>
      <c r="B53" s="20" t="s">
        <v>5</v>
      </c>
      <c r="C53" s="21">
        <f t="shared" si="1"/>
        <v>78738</v>
      </c>
      <c r="D53" s="21"/>
      <c r="E53" s="21">
        <f t="shared" ref="E53:U53" si="5">SUM(E9,E31)</f>
        <v>13491</v>
      </c>
      <c r="F53" s="21">
        <f t="shared" si="5"/>
        <v>10606</v>
      </c>
      <c r="G53" s="21">
        <f t="shared" si="5"/>
        <v>11021</v>
      </c>
      <c r="H53" s="21">
        <f t="shared" si="5"/>
        <v>7475</v>
      </c>
      <c r="I53" s="21">
        <f t="shared" si="5"/>
        <v>6751</v>
      </c>
      <c r="J53" s="21">
        <f t="shared" si="5"/>
        <v>4838</v>
      </c>
      <c r="K53" s="21">
        <f t="shared" si="5"/>
        <v>4480</v>
      </c>
      <c r="L53" s="21">
        <f t="shared" si="5"/>
        <v>4521</v>
      </c>
      <c r="M53" s="21">
        <f t="shared" si="5"/>
        <v>4729</v>
      </c>
      <c r="N53" s="21">
        <f t="shared" si="5"/>
        <v>4020</v>
      </c>
      <c r="O53" s="21">
        <f t="shared" si="5"/>
        <v>3102</v>
      </c>
      <c r="P53" s="21">
        <f t="shared" si="5"/>
        <v>2064</v>
      </c>
      <c r="Q53" s="21">
        <f t="shared" si="5"/>
        <v>1338</v>
      </c>
      <c r="R53" s="21">
        <f t="shared" si="5"/>
        <v>727</v>
      </c>
      <c r="S53" s="21">
        <f t="shared" si="5"/>
        <v>403</v>
      </c>
      <c r="T53" s="21">
        <f t="shared" si="5"/>
        <v>138</v>
      </c>
      <c r="U53" s="21">
        <f t="shared" si="5"/>
        <v>47</v>
      </c>
    </row>
    <row r="54" spans="1:21" x14ac:dyDescent="0.2">
      <c r="A54" s="18" t="s">
        <v>22</v>
      </c>
      <c r="B54" s="20" t="s">
        <v>6</v>
      </c>
      <c r="C54" s="21">
        <f t="shared" si="1"/>
        <v>42338</v>
      </c>
      <c r="D54" s="21"/>
      <c r="E54" s="21">
        <f t="shared" ref="E54:U54" si="6">SUM(E10,E32)</f>
        <v>7077</v>
      </c>
      <c r="F54" s="21">
        <f t="shared" si="6"/>
        <v>5793</v>
      </c>
      <c r="G54" s="21">
        <f t="shared" si="6"/>
        <v>5373</v>
      </c>
      <c r="H54" s="21">
        <f t="shared" si="6"/>
        <v>3656</v>
      </c>
      <c r="I54" s="21">
        <f t="shared" si="6"/>
        <v>3281</v>
      </c>
      <c r="J54" s="21">
        <f t="shared" si="6"/>
        <v>2612</v>
      </c>
      <c r="K54" s="21">
        <f t="shared" si="6"/>
        <v>2481</v>
      </c>
      <c r="L54" s="21">
        <f t="shared" si="6"/>
        <v>2547</v>
      </c>
      <c r="M54" s="21">
        <f t="shared" si="6"/>
        <v>2467</v>
      </c>
      <c r="N54" s="21">
        <f t="shared" si="6"/>
        <v>2323</v>
      </c>
      <c r="O54" s="21">
        <f t="shared" si="6"/>
        <v>2069</v>
      </c>
      <c r="P54" s="21">
        <f t="shared" si="6"/>
        <v>1475</v>
      </c>
      <c r="Q54" s="21">
        <f t="shared" si="6"/>
        <v>1047</v>
      </c>
      <c r="R54" s="21">
        <f t="shared" si="6"/>
        <v>526</v>
      </c>
      <c r="S54" s="21">
        <f t="shared" si="6"/>
        <v>305</v>
      </c>
      <c r="T54" s="21">
        <f t="shared" si="6"/>
        <v>137</v>
      </c>
      <c r="U54" s="21">
        <f t="shared" si="6"/>
        <v>37</v>
      </c>
    </row>
    <row r="55" spans="1:21" x14ac:dyDescent="0.2">
      <c r="A55" s="18" t="s">
        <v>22</v>
      </c>
      <c r="B55" s="20" t="s">
        <v>7</v>
      </c>
      <c r="C55" s="21">
        <f t="shared" si="1"/>
        <v>23363</v>
      </c>
      <c r="D55" s="21"/>
      <c r="E55" s="21">
        <f t="shared" ref="E55:U55" si="7">SUM(E11,E33)</f>
        <v>3647</v>
      </c>
      <c r="F55" s="21">
        <f t="shared" si="7"/>
        <v>2874</v>
      </c>
      <c r="G55" s="21">
        <f t="shared" si="7"/>
        <v>3117</v>
      </c>
      <c r="H55" s="21">
        <f t="shared" si="7"/>
        <v>2185</v>
      </c>
      <c r="I55" s="21">
        <f t="shared" si="7"/>
        <v>2020</v>
      </c>
      <c r="J55" s="21">
        <f t="shared" si="7"/>
        <v>1617</v>
      </c>
      <c r="K55" s="21">
        <f t="shared" si="7"/>
        <v>1541</v>
      </c>
      <c r="L55" s="21">
        <f t="shared" si="7"/>
        <v>1478</v>
      </c>
      <c r="M55" s="21">
        <f t="shared" si="7"/>
        <v>1395</v>
      </c>
      <c r="N55" s="21">
        <f t="shared" si="7"/>
        <v>1239</v>
      </c>
      <c r="O55" s="21">
        <f t="shared" si="7"/>
        <v>1078</v>
      </c>
      <c r="P55" s="21">
        <f t="shared" si="7"/>
        <v>719</v>
      </c>
      <c r="Q55" s="21">
        <f t="shared" si="7"/>
        <v>449</v>
      </c>
      <c r="R55" s="21">
        <f t="shared" si="7"/>
        <v>234</v>
      </c>
      <c r="S55" s="21">
        <f t="shared" si="7"/>
        <v>124</v>
      </c>
      <c r="T55" s="21">
        <f t="shared" si="7"/>
        <v>47</v>
      </c>
      <c r="U55" s="21">
        <f t="shared" si="7"/>
        <v>13</v>
      </c>
    </row>
    <row r="56" spans="1:21" x14ac:dyDescent="0.2">
      <c r="A56" s="18" t="s">
        <v>22</v>
      </c>
      <c r="B56" s="20" t="s">
        <v>8</v>
      </c>
      <c r="C56" s="21">
        <f t="shared" si="1"/>
        <v>37018</v>
      </c>
      <c r="D56" s="21"/>
      <c r="E56" s="21">
        <f t="shared" ref="E56:U56" si="8">SUM(E12,E34)</f>
        <v>5898</v>
      </c>
      <c r="F56" s="21">
        <f t="shared" si="8"/>
        <v>4972</v>
      </c>
      <c r="G56" s="21">
        <f t="shared" si="8"/>
        <v>4553</v>
      </c>
      <c r="H56" s="21">
        <f t="shared" si="8"/>
        <v>3020</v>
      </c>
      <c r="I56" s="21">
        <f t="shared" si="8"/>
        <v>3090</v>
      </c>
      <c r="J56" s="21">
        <f t="shared" si="8"/>
        <v>2392</v>
      </c>
      <c r="K56" s="21">
        <f t="shared" si="8"/>
        <v>2206</v>
      </c>
      <c r="L56" s="21">
        <f t="shared" si="8"/>
        <v>2309</v>
      </c>
      <c r="M56" s="21">
        <f t="shared" si="8"/>
        <v>2289</v>
      </c>
      <c r="N56" s="21">
        <f t="shared" si="8"/>
        <v>2086</v>
      </c>
      <c r="O56" s="21">
        <f t="shared" si="8"/>
        <v>1954</v>
      </c>
      <c r="P56" s="21">
        <f t="shared" si="8"/>
        <v>1286</v>
      </c>
      <c r="Q56" s="21">
        <f t="shared" si="8"/>
        <v>891</v>
      </c>
      <c r="R56" s="21">
        <f t="shared" si="8"/>
        <v>495</v>
      </c>
      <c r="S56" s="21">
        <f t="shared" si="8"/>
        <v>291</v>
      </c>
      <c r="T56" s="21">
        <f t="shared" si="8"/>
        <v>126</v>
      </c>
      <c r="U56" s="21">
        <f t="shared" si="8"/>
        <v>47</v>
      </c>
    </row>
    <row r="57" spans="1:21" x14ac:dyDescent="0.2">
      <c r="A57" s="18" t="s">
        <v>22</v>
      </c>
      <c r="B57" s="20" t="s">
        <v>9</v>
      </c>
      <c r="C57" s="21">
        <f t="shared" si="1"/>
        <v>31003</v>
      </c>
      <c r="D57" s="21"/>
      <c r="E57" s="21">
        <f t="shared" ref="E57:U57" si="9">SUM(E13,E35)</f>
        <v>5628</v>
      </c>
      <c r="F57" s="21">
        <f t="shared" si="9"/>
        <v>4227</v>
      </c>
      <c r="G57" s="21">
        <f t="shared" si="9"/>
        <v>4287</v>
      </c>
      <c r="H57" s="21">
        <f t="shared" si="9"/>
        <v>2744</v>
      </c>
      <c r="I57" s="21">
        <f t="shared" si="9"/>
        <v>2524</v>
      </c>
      <c r="J57" s="21">
        <f t="shared" si="9"/>
        <v>1884</v>
      </c>
      <c r="K57" s="21">
        <f t="shared" si="9"/>
        <v>1730</v>
      </c>
      <c r="L57" s="21">
        <f t="shared" si="9"/>
        <v>1801</v>
      </c>
      <c r="M57" s="21">
        <f t="shared" si="9"/>
        <v>1762</v>
      </c>
      <c r="N57" s="21">
        <f t="shared" si="9"/>
        <v>1641</v>
      </c>
      <c r="O57" s="21">
        <f t="shared" si="9"/>
        <v>1367</v>
      </c>
      <c r="P57" s="21">
        <f t="shared" si="9"/>
        <v>969</v>
      </c>
      <c r="Q57" s="21">
        <f t="shared" si="9"/>
        <v>687</v>
      </c>
      <c r="R57" s="21">
        <f t="shared" si="9"/>
        <v>378</v>
      </c>
      <c r="S57" s="21">
        <f t="shared" si="9"/>
        <v>219</v>
      </c>
      <c r="T57" s="21">
        <f t="shared" si="9"/>
        <v>93</v>
      </c>
      <c r="U57" s="21">
        <f t="shared" si="9"/>
        <v>32</v>
      </c>
    </row>
    <row r="58" spans="1:21" x14ac:dyDescent="0.2">
      <c r="A58" s="18" t="s">
        <v>22</v>
      </c>
      <c r="B58" s="20" t="s">
        <v>10</v>
      </c>
      <c r="C58" s="21">
        <f t="shared" si="1"/>
        <v>14256</v>
      </c>
      <c r="D58" s="21"/>
      <c r="E58" s="21">
        <f t="shared" ref="E58:U58" si="10">SUM(E14,E36)</f>
        <v>2514</v>
      </c>
      <c r="F58" s="21">
        <f t="shared" si="10"/>
        <v>1977</v>
      </c>
      <c r="G58" s="21">
        <f t="shared" si="10"/>
        <v>1777</v>
      </c>
      <c r="H58" s="21">
        <f t="shared" si="10"/>
        <v>1156</v>
      </c>
      <c r="I58" s="21">
        <f t="shared" si="10"/>
        <v>1079</v>
      </c>
      <c r="J58" s="21">
        <f t="shared" si="10"/>
        <v>907</v>
      </c>
      <c r="K58" s="21">
        <f t="shared" si="10"/>
        <v>772</v>
      </c>
      <c r="L58" s="21">
        <f t="shared" si="10"/>
        <v>863</v>
      </c>
      <c r="M58" s="21">
        <f t="shared" si="10"/>
        <v>909</v>
      </c>
      <c r="N58" s="21">
        <f t="shared" si="10"/>
        <v>835</v>
      </c>
      <c r="O58" s="21">
        <f t="shared" si="10"/>
        <v>705</v>
      </c>
      <c r="P58" s="21">
        <f t="shared" si="10"/>
        <v>450</v>
      </c>
      <c r="Q58" s="21">
        <f t="shared" si="10"/>
        <v>340</v>
      </c>
      <c r="R58" s="21">
        <f t="shared" si="10"/>
        <v>216</v>
      </c>
      <c r="S58" s="21">
        <f t="shared" si="10"/>
        <v>98</v>
      </c>
      <c r="T58" s="21">
        <f t="shared" si="10"/>
        <v>31</v>
      </c>
      <c r="U58" s="21">
        <f t="shared" si="10"/>
        <v>12</v>
      </c>
    </row>
    <row r="59" spans="1:21" x14ac:dyDescent="0.2">
      <c r="A59" s="18" t="s">
        <v>22</v>
      </c>
      <c r="B59" s="20" t="s">
        <v>11</v>
      </c>
      <c r="C59" s="21">
        <f t="shared" si="1"/>
        <v>62577</v>
      </c>
      <c r="D59" s="21"/>
      <c r="E59" s="21">
        <f t="shared" ref="E59:U59" si="11">SUM(E15,E37)</f>
        <v>10606</v>
      </c>
      <c r="F59" s="21">
        <f t="shared" si="11"/>
        <v>8200</v>
      </c>
      <c r="G59" s="21">
        <f t="shared" si="11"/>
        <v>7206</v>
      </c>
      <c r="H59" s="21">
        <f t="shared" si="11"/>
        <v>4633</v>
      </c>
      <c r="I59" s="21">
        <f t="shared" si="11"/>
        <v>4762</v>
      </c>
      <c r="J59" s="21">
        <f t="shared" si="11"/>
        <v>3675</v>
      </c>
      <c r="K59" s="21">
        <f t="shared" si="11"/>
        <v>3339</v>
      </c>
      <c r="L59" s="21">
        <f t="shared" si="11"/>
        <v>3798</v>
      </c>
      <c r="M59" s="21">
        <f t="shared" si="11"/>
        <v>3968</v>
      </c>
      <c r="N59" s="21">
        <f t="shared" si="11"/>
        <v>3960</v>
      </c>
      <c r="O59" s="21">
        <f t="shared" si="11"/>
        <v>3557</v>
      </c>
      <c r="P59" s="21">
        <f t="shared" si="11"/>
        <v>2605</v>
      </c>
      <c r="Q59" s="21">
        <f t="shared" si="11"/>
        <v>1772</v>
      </c>
      <c r="R59" s="21">
        <f t="shared" si="11"/>
        <v>1022</v>
      </c>
      <c r="S59" s="21">
        <f t="shared" si="11"/>
        <v>584</v>
      </c>
      <c r="T59" s="21">
        <f t="shared" si="11"/>
        <v>258</v>
      </c>
      <c r="U59" s="21">
        <f t="shared" si="11"/>
        <v>103</v>
      </c>
    </row>
    <row r="60" spans="1:21" x14ac:dyDescent="0.2">
      <c r="A60" s="18" t="s">
        <v>22</v>
      </c>
      <c r="B60" s="20" t="s">
        <v>12</v>
      </c>
      <c r="C60" s="21">
        <f t="shared" si="1"/>
        <v>3697</v>
      </c>
      <c r="D60" s="21"/>
      <c r="E60" s="21">
        <f t="shared" ref="E60:U60" si="12">SUM(E16,E38)</f>
        <v>49</v>
      </c>
      <c r="F60" s="21">
        <f t="shared" si="12"/>
        <v>355</v>
      </c>
      <c r="G60" s="21">
        <f t="shared" si="12"/>
        <v>558</v>
      </c>
      <c r="H60" s="21">
        <f t="shared" si="12"/>
        <v>564</v>
      </c>
      <c r="I60" s="21">
        <f t="shared" si="12"/>
        <v>580</v>
      </c>
      <c r="J60" s="21">
        <f t="shared" si="12"/>
        <v>418</v>
      </c>
      <c r="K60" s="21">
        <f t="shared" si="12"/>
        <v>362</v>
      </c>
      <c r="L60" s="21">
        <f t="shared" si="12"/>
        <v>345</v>
      </c>
      <c r="M60" s="21">
        <f t="shared" si="12"/>
        <v>315</v>
      </c>
      <c r="N60" s="21">
        <f t="shared" si="12"/>
        <v>238</v>
      </c>
      <c r="O60" s="21">
        <f t="shared" si="12"/>
        <v>181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</row>
    <row r="61" spans="1:21" x14ac:dyDescent="0.2">
      <c r="A61" s="18" t="s">
        <v>22</v>
      </c>
      <c r="B61" s="20" t="s">
        <v>13</v>
      </c>
      <c r="C61" s="21">
        <f t="shared" si="1"/>
        <v>4361</v>
      </c>
      <c r="D61" s="21"/>
      <c r="E61" s="21">
        <f t="shared" ref="E61:U61" si="13">SUM(E17,E39)</f>
        <v>827</v>
      </c>
      <c r="F61" s="21">
        <f t="shared" si="13"/>
        <v>597</v>
      </c>
      <c r="G61" s="21">
        <f t="shared" si="13"/>
        <v>554</v>
      </c>
      <c r="H61" s="21">
        <f t="shared" si="13"/>
        <v>368</v>
      </c>
      <c r="I61" s="21">
        <f t="shared" si="13"/>
        <v>343</v>
      </c>
      <c r="J61" s="21">
        <f t="shared" si="13"/>
        <v>248</v>
      </c>
      <c r="K61" s="21">
        <f t="shared" si="13"/>
        <v>240</v>
      </c>
      <c r="L61" s="21">
        <f t="shared" si="13"/>
        <v>282</v>
      </c>
      <c r="M61" s="21">
        <f t="shared" si="13"/>
        <v>269</v>
      </c>
      <c r="N61" s="21">
        <f t="shared" si="13"/>
        <v>220</v>
      </c>
      <c r="O61" s="21">
        <f t="shared" si="13"/>
        <v>188</v>
      </c>
      <c r="P61" s="21">
        <f t="shared" si="13"/>
        <v>141</v>
      </c>
      <c r="Q61" s="21">
        <f t="shared" si="13"/>
        <v>105</v>
      </c>
      <c r="R61" s="21">
        <f t="shared" si="13"/>
        <v>43</v>
      </c>
      <c r="S61" s="21">
        <f t="shared" si="13"/>
        <v>37</v>
      </c>
      <c r="T61" s="21">
        <f t="shared" si="13"/>
        <v>16</v>
      </c>
      <c r="U61" s="21">
        <f t="shared" si="13"/>
        <v>0</v>
      </c>
    </row>
    <row r="62" spans="1:21" x14ac:dyDescent="0.2">
      <c r="A62" s="18" t="s">
        <v>22</v>
      </c>
      <c r="B62" s="20" t="s">
        <v>14</v>
      </c>
      <c r="C62" s="21">
        <f t="shared" si="1"/>
        <v>29442</v>
      </c>
      <c r="D62" s="21"/>
      <c r="E62" s="21">
        <f t="shared" ref="E62:U62" si="14">SUM(E18,E40)</f>
        <v>4968</v>
      </c>
      <c r="F62" s="21">
        <f t="shared" si="14"/>
        <v>3847</v>
      </c>
      <c r="G62" s="21">
        <f t="shared" si="14"/>
        <v>4610</v>
      </c>
      <c r="H62" s="21">
        <f t="shared" si="14"/>
        <v>2524</v>
      </c>
      <c r="I62" s="21">
        <f t="shared" si="14"/>
        <v>2417</v>
      </c>
      <c r="J62" s="21">
        <f t="shared" si="14"/>
        <v>1910</v>
      </c>
      <c r="K62" s="21">
        <f t="shared" si="14"/>
        <v>1686</v>
      </c>
      <c r="L62" s="21">
        <f t="shared" si="14"/>
        <v>1627</v>
      </c>
      <c r="M62" s="21">
        <f t="shared" si="14"/>
        <v>1668</v>
      </c>
      <c r="N62" s="21">
        <f t="shared" si="14"/>
        <v>1524</v>
      </c>
      <c r="O62" s="21">
        <f t="shared" si="14"/>
        <v>1223</v>
      </c>
      <c r="P62" s="21">
        <f t="shared" si="14"/>
        <v>821</v>
      </c>
      <c r="Q62" s="21">
        <f t="shared" si="14"/>
        <v>644</v>
      </c>
      <c r="R62" s="21">
        <f t="shared" si="14"/>
        <v>324</v>
      </c>
      <c r="S62" s="21">
        <f t="shared" si="14"/>
        <v>219</v>
      </c>
      <c r="T62" s="21">
        <f t="shared" si="14"/>
        <v>104</v>
      </c>
      <c r="U62" s="21">
        <f t="shared" si="14"/>
        <v>35</v>
      </c>
    </row>
    <row r="63" spans="1:21" x14ac:dyDescent="0.2">
      <c r="A63" s="18" t="s">
        <v>22</v>
      </c>
      <c r="B63" s="20" t="s">
        <v>15</v>
      </c>
      <c r="C63" s="21">
        <f t="shared" si="1"/>
        <v>24059</v>
      </c>
      <c r="D63" s="21"/>
      <c r="E63" s="21">
        <f t="shared" ref="E63:U63" si="15">SUM(E19,E41)</f>
        <v>3555</v>
      </c>
      <c r="F63" s="21">
        <f t="shared" si="15"/>
        <v>3159</v>
      </c>
      <c r="G63" s="21">
        <f t="shared" si="15"/>
        <v>2912</v>
      </c>
      <c r="H63" s="21">
        <f t="shared" si="15"/>
        <v>1925</v>
      </c>
      <c r="I63" s="21">
        <f t="shared" si="15"/>
        <v>1857</v>
      </c>
      <c r="J63" s="21">
        <f t="shared" si="15"/>
        <v>1453</v>
      </c>
      <c r="K63" s="21">
        <f t="shared" si="15"/>
        <v>1406</v>
      </c>
      <c r="L63" s="21">
        <f t="shared" si="15"/>
        <v>1471</v>
      </c>
      <c r="M63" s="21">
        <f t="shared" si="15"/>
        <v>1504</v>
      </c>
      <c r="N63" s="21">
        <f t="shared" si="15"/>
        <v>1379</v>
      </c>
      <c r="O63" s="21">
        <f t="shared" si="15"/>
        <v>1358</v>
      </c>
      <c r="P63" s="21">
        <f t="shared" si="15"/>
        <v>1050</v>
      </c>
      <c r="Q63" s="21">
        <f t="shared" si="15"/>
        <v>703</v>
      </c>
      <c r="R63" s="21">
        <f t="shared" si="15"/>
        <v>378</v>
      </c>
      <c r="S63" s="21">
        <f t="shared" si="15"/>
        <v>207</v>
      </c>
      <c r="T63" s="21">
        <f t="shared" si="15"/>
        <v>91</v>
      </c>
      <c r="U63" s="21">
        <f t="shared" si="15"/>
        <v>40</v>
      </c>
    </row>
    <row r="64" spans="1:21" x14ac:dyDescent="0.2">
      <c r="A64" s="18" t="s">
        <v>22</v>
      </c>
      <c r="B64" s="20" t="s">
        <v>16</v>
      </c>
      <c r="C64" s="21">
        <f t="shared" si="1"/>
        <v>20532</v>
      </c>
      <c r="D64" s="21"/>
      <c r="E64" s="21">
        <f t="shared" ref="E64:U64" si="16">SUM(E20,E42)</f>
        <v>3924</v>
      </c>
      <c r="F64" s="21">
        <f t="shared" si="16"/>
        <v>2843</v>
      </c>
      <c r="G64" s="21">
        <f t="shared" si="16"/>
        <v>2454</v>
      </c>
      <c r="H64" s="21">
        <f t="shared" si="16"/>
        <v>1645</v>
      </c>
      <c r="I64" s="21">
        <f t="shared" si="16"/>
        <v>1655</v>
      </c>
      <c r="J64" s="21">
        <f t="shared" si="16"/>
        <v>1321</v>
      </c>
      <c r="K64" s="21">
        <f t="shared" si="16"/>
        <v>1208</v>
      </c>
      <c r="L64" s="21">
        <f t="shared" si="16"/>
        <v>1242</v>
      </c>
      <c r="M64" s="21">
        <f t="shared" si="16"/>
        <v>1200</v>
      </c>
      <c r="N64" s="21">
        <f t="shared" si="16"/>
        <v>1079</v>
      </c>
      <c r="O64" s="21">
        <f t="shared" si="16"/>
        <v>938</v>
      </c>
      <c r="P64" s="21">
        <f t="shared" si="16"/>
        <v>677</v>
      </c>
      <c r="Q64" s="21">
        <f t="shared" si="16"/>
        <v>440</v>
      </c>
      <c r="R64" s="21">
        <f t="shared" si="16"/>
        <v>239</v>
      </c>
      <c r="S64" s="21">
        <f t="shared" si="16"/>
        <v>151</v>
      </c>
      <c r="T64" s="21">
        <f t="shared" si="16"/>
        <v>51</v>
      </c>
      <c r="U64" s="21">
        <f t="shared" si="16"/>
        <v>14</v>
      </c>
    </row>
    <row r="65" spans="1:21" x14ac:dyDescent="0.2">
      <c r="A65" s="18" t="s">
        <v>22</v>
      </c>
      <c r="B65" s="20" t="s">
        <v>17</v>
      </c>
      <c r="C65" s="21">
        <f t="shared" si="1"/>
        <v>86964</v>
      </c>
      <c r="D65" s="21"/>
      <c r="E65" s="21">
        <f t="shared" ref="E65:U65" si="17">SUM(E21,E43)</f>
        <v>14906</v>
      </c>
      <c r="F65" s="21">
        <f t="shared" si="17"/>
        <v>11442</v>
      </c>
      <c r="G65" s="21">
        <f t="shared" si="17"/>
        <v>11810</v>
      </c>
      <c r="H65" s="21">
        <f t="shared" si="17"/>
        <v>7730</v>
      </c>
      <c r="I65" s="21">
        <f t="shared" si="17"/>
        <v>7212</v>
      </c>
      <c r="J65" s="21">
        <f t="shared" si="17"/>
        <v>5678</v>
      </c>
      <c r="K65" s="21">
        <f t="shared" si="17"/>
        <v>5271</v>
      </c>
      <c r="L65" s="21">
        <f t="shared" si="17"/>
        <v>5097</v>
      </c>
      <c r="M65" s="21">
        <f t="shared" si="17"/>
        <v>5000</v>
      </c>
      <c r="N65" s="21">
        <f t="shared" si="17"/>
        <v>4696</v>
      </c>
      <c r="O65" s="21">
        <f t="shared" si="17"/>
        <v>3916</v>
      </c>
      <c r="P65" s="21">
        <f t="shared" si="17"/>
        <v>2859</v>
      </c>
      <c r="Q65" s="21">
        <f t="shared" si="17"/>
        <v>1832</v>
      </c>
      <c r="R65" s="21">
        <f t="shared" si="17"/>
        <v>1030</v>
      </c>
      <c r="S65" s="21">
        <f t="shared" si="17"/>
        <v>547</v>
      </c>
      <c r="T65" s="21">
        <f t="shared" si="17"/>
        <v>227</v>
      </c>
      <c r="U65" s="21">
        <f t="shared" si="17"/>
        <v>96</v>
      </c>
    </row>
    <row r="66" spans="1:21" x14ac:dyDescent="0.2">
      <c r="A66" s="18" t="s">
        <v>22</v>
      </c>
      <c r="B66" s="20" t="s">
        <v>18</v>
      </c>
      <c r="C66" s="21">
        <f t="shared" si="1"/>
        <v>7836</v>
      </c>
      <c r="D66" s="21"/>
      <c r="E66" s="21">
        <f t="shared" ref="E66:U66" si="18">SUM(E22,E44)</f>
        <v>1319</v>
      </c>
      <c r="F66" s="21">
        <f t="shared" si="18"/>
        <v>1096</v>
      </c>
      <c r="G66" s="21">
        <f t="shared" si="18"/>
        <v>1016</v>
      </c>
      <c r="H66" s="21">
        <f t="shared" si="18"/>
        <v>619</v>
      </c>
      <c r="I66" s="21">
        <f t="shared" si="18"/>
        <v>629</v>
      </c>
      <c r="J66" s="21">
        <f t="shared" si="18"/>
        <v>499</v>
      </c>
      <c r="K66" s="21">
        <f t="shared" si="18"/>
        <v>459</v>
      </c>
      <c r="L66" s="21">
        <f t="shared" si="18"/>
        <v>484</v>
      </c>
      <c r="M66" s="21">
        <f t="shared" si="18"/>
        <v>419</v>
      </c>
      <c r="N66" s="21">
        <f t="shared" si="18"/>
        <v>440</v>
      </c>
      <c r="O66" s="21">
        <f t="shared" si="18"/>
        <v>389</v>
      </c>
      <c r="P66" s="21">
        <f t="shared" si="18"/>
        <v>276</v>
      </c>
      <c r="Q66" s="21">
        <f t="shared" si="18"/>
        <v>179</v>
      </c>
      <c r="R66" s="21">
        <f t="shared" si="18"/>
        <v>116</v>
      </c>
      <c r="S66" s="21">
        <f t="shared" si="18"/>
        <v>58</v>
      </c>
      <c r="T66" s="21">
        <f t="shared" si="18"/>
        <v>30</v>
      </c>
      <c r="U66" s="21">
        <f t="shared" si="18"/>
        <v>8</v>
      </c>
    </row>
    <row r="67" spans="1:21" x14ac:dyDescent="0.2">
      <c r="A67" s="18" t="s">
        <v>22</v>
      </c>
      <c r="B67" s="20" t="s">
        <v>19</v>
      </c>
      <c r="C67" s="21">
        <f t="shared" si="1"/>
        <v>50749</v>
      </c>
      <c r="D67" s="21"/>
      <c r="E67" s="21">
        <f t="shared" ref="E67:U67" si="19">SUM(E23,E45)</f>
        <v>8308</v>
      </c>
      <c r="F67" s="21">
        <f t="shared" si="19"/>
        <v>6877</v>
      </c>
      <c r="G67" s="21">
        <f t="shared" si="19"/>
        <v>6928</v>
      </c>
      <c r="H67" s="21">
        <f t="shared" si="19"/>
        <v>4898</v>
      </c>
      <c r="I67" s="21">
        <f t="shared" si="19"/>
        <v>4182</v>
      </c>
      <c r="J67" s="21">
        <f t="shared" si="19"/>
        <v>3235</v>
      </c>
      <c r="K67" s="21">
        <f t="shared" si="19"/>
        <v>2999</v>
      </c>
      <c r="L67" s="21">
        <f t="shared" si="19"/>
        <v>3155</v>
      </c>
      <c r="M67" s="21">
        <f t="shared" si="19"/>
        <v>3159</v>
      </c>
      <c r="N67" s="21">
        <f t="shared" si="19"/>
        <v>2641</v>
      </c>
      <c r="O67" s="21">
        <f t="shared" si="19"/>
        <v>2071</v>
      </c>
      <c r="P67" s="21">
        <f t="shared" si="19"/>
        <v>1303</v>
      </c>
      <c r="Q67" s="21">
        <f t="shared" si="19"/>
        <v>804</v>
      </c>
      <c r="R67" s="21">
        <f t="shared" si="19"/>
        <v>466</v>
      </c>
      <c r="S67" s="21">
        <f t="shared" si="19"/>
        <v>274</v>
      </c>
      <c r="T67" s="21">
        <f t="shared" si="19"/>
        <v>100</v>
      </c>
      <c r="U67" s="21">
        <f t="shared" si="19"/>
        <v>42</v>
      </c>
    </row>
    <row r="68" spans="1:21" x14ac:dyDescent="0.2">
      <c r="A68" s="18" t="s">
        <v>22</v>
      </c>
      <c r="B68" s="20" t="s">
        <v>20</v>
      </c>
      <c r="C68" s="21">
        <f t="shared" si="1"/>
        <v>3418</v>
      </c>
      <c r="D68" s="21"/>
      <c r="E68" s="21">
        <f t="shared" ref="E68:U68" si="20">SUM(E24,E46)</f>
        <v>554</v>
      </c>
      <c r="F68" s="21">
        <f t="shared" si="20"/>
        <v>422</v>
      </c>
      <c r="G68" s="21">
        <f t="shared" si="20"/>
        <v>367</v>
      </c>
      <c r="H68" s="21">
        <f t="shared" si="20"/>
        <v>280</v>
      </c>
      <c r="I68" s="21">
        <f t="shared" si="20"/>
        <v>273</v>
      </c>
      <c r="J68" s="21">
        <f t="shared" si="20"/>
        <v>179</v>
      </c>
      <c r="K68" s="21">
        <f t="shared" si="20"/>
        <v>194</v>
      </c>
      <c r="L68" s="21">
        <f t="shared" si="20"/>
        <v>213</v>
      </c>
      <c r="M68" s="21">
        <f t="shared" si="20"/>
        <v>208</v>
      </c>
      <c r="N68" s="21">
        <f t="shared" si="20"/>
        <v>266</v>
      </c>
      <c r="O68" s="21">
        <f t="shared" si="20"/>
        <v>229</v>
      </c>
      <c r="P68" s="21">
        <f t="shared" si="20"/>
        <v>124</v>
      </c>
      <c r="Q68" s="21">
        <f t="shared" si="20"/>
        <v>95</v>
      </c>
      <c r="R68" s="21">
        <f t="shared" si="20"/>
        <v>50</v>
      </c>
      <c r="S68" s="21">
        <f t="shared" si="20"/>
        <v>27</v>
      </c>
      <c r="T68" s="21">
        <f t="shared" si="20"/>
        <v>6</v>
      </c>
      <c r="U68" s="21">
        <f t="shared" si="20"/>
        <v>0</v>
      </c>
    </row>
    <row r="69" spans="1:21" x14ac:dyDescent="0.2">
      <c r="A69" s="18" t="s">
        <v>22</v>
      </c>
      <c r="B69" s="20" t="s">
        <v>21</v>
      </c>
      <c r="C69" s="21">
        <f t="shared" si="1"/>
        <v>16620</v>
      </c>
      <c r="D69" s="21"/>
      <c r="E69" s="21">
        <f t="shared" ref="E69:U69" si="21">SUM(E25,E47)</f>
        <v>2802</v>
      </c>
      <c r="F69" s="21">
        <f t="shared" si="21"/>
        <v>2116</v>
      </c>
      <c r="G69" s="21">
        <f t="shared" si="21"/>
        <v>2004</v>
      </c>
      <c r="H69" s="21">
        <f t="shared" si="21"/>
        <v>1371</v>
      </c>
      <c r="I69" s="21">
        <f t="shared" si="21"/>
        <v>1310</v>
      </c>
      <c r="J69" s="21">
        <f t="shared" si="21"/>
        <v>1044</v>
      </c>
      <c r="K69" s="21">
        <f t="shared" si="21"/>
        <v>924</v>
      </c>
      <c r="L69" s="21">
        <f t="shared" si="21"/>
        <v>1006</v>
      </c>
      <c r="M69" s="21">
        <f t="shared" si="21"/>
        <v>1036</v>
      </c>
      <c r="N69" s="21">
        <f t="shared" si="21"/>
        <v>964</v>
      </c>
      <c r="O69" s="21">
        <f t="shared" si="21"/>
        <v>844</v>
      </c>
      <c r="P69" s="21">
        <f t="shared" si="21"/>
        <v>634</v>
      </c>
      <c r="Q69" s="21">
        <f t="shared" si="21"/>
        <v>449</v>
      </c>
      <c r="R69" s="21">
        <f t="shared" si="21"/>
        <v>251</v>
      </c>
      <c r="S69" s="21">
        <f t="shared" si="21"/>
        <v>137</v>
      </c>
      <c r="T69" s="21">
        <f t="shared" si="21"/>
        <v>57</v>
      </c>
      <c r="U69" s="21">
        <f t="shared" si="21"/>
        <v>26</v>
      </c>
    </row>
    <row r="70" spans="1:21" x14ac:dyDescent="0.2">
      <c r="A70" s="18" t="s">
        <v>22</v>
      </c>
      <c r="B70" s="18" t="s">
        <v>22</v>
      </c>
      <c r="C70" s="21">
        <f t="shared" si="1"/>
        <v>723612</v>
      </c>
      <c r="D70" s="21"/>
      <c r="E70" s="21">
        <f t="shared" ref="E70:U70" si="22">SUM(E26,E48)</f>
        <v>116382</v>
      </c>
      <c r="F70" s="21">
        <f t="shared" si="22"/>
        <v>92821</v>
      </c>
      <c r="G70" s="21">
        <f t="shared" si="22"/>
        <v>94368</v>
      </c>
      <c r="H70" s="21">
        <f t="shared" si="22"/>
        <v>63181</v>
      </c>
      <c r="I70" s="21">
        <f t="shared" si="22"/>
        <v>58429</v>
      </c>
      <c r="J70" s="21">
        <f t="shared" si="22"/>
        <v>44994</v>
      </c>
      <c r="K70" s="21">
        <f t="shared" si="22"/>
        <v>41818</v>
      </c>
      <c r="L70" s="21">
        <f t="shared" si="22"/>
        <v>42850</v>
      </c>
      <c r="M70" s="21">
        <f t="shared" si="22"/>
        <v>42786</v>
      </c>
      <c r="N70" s="21">
        <f t="shared" si="22"/>
        <v>38895</v>
      </c>
      <c r="O70" s="21">
        <f t="shared" si="22"/>
        <v>32840</v>
      </c>
      <c r="P70" s="21">
        <f t="shared" si="22"/>
        <v>22825</v>
      </c>
      <c r="Q70" s="21">
        <f t="shared" si="22"/>
        <v>15414</v>
      </c>
      <c r="R70" s="21">
        <f t="shared" si="22"/>
        <v>8484</v>
      </c>
      <c r="S70" s="21">
        <f t="shared" si="22"/>
        <v>4839</v>
      </c>
      <c r="T70" s="21">
        <f t="shared" si="22"/>
        <v>1964</v>
      </c>
      <c r="U70" s="21">
        <f t="shared" si="22"/>
        <v>722</v>
      </c>
    </row>
    <row r="71" spans="1:21" x14ac:dyDescent="0.2">
      <c r="A71" s="18"/>
      <c r="B71" s="2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2"/>
    </row>
    <row r="72" spans="1:21" x14ac:dyDescent="0.2">
      <c r="A72" s="18"/>
      <c r="B72" s="23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2"/>
    </row>
    <row r="73" spans="1:21" x14ac:dyDescent="0.2">
      <c r="A73" t="s">
        <v>65</v>
      </c>
      <c r="B73" s="1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x14ac:dyDescent="0.2">
      <c r="B74" s="1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x14ac:dyDescent="0.2">
      <c r="A75" t="s">
        <v>66</v>
      </c>
    </row>
    <row r="76" spans="1:21" x14ac:dyDescent="0.2">
      <c r="A76" t="str">
        <f>'[1]HSU DHB Population 0+'!A76</f>
        <v>Ministry of Health; COVID-19 vaccination data through 15 Feb 2022</v>
      </c>
    </row>
    <row r="78" spans="1:21" x14ac:dyDescent="0.2">
      <c r="A78" s="16" t="s">
        <v>71</v>
      </c>
      <c r="B78" s="17"/>
      <c r="C78" s="17"/>
      <c r="D78" s="17"/>
      <c r="E78" s="17"/>
    </row>
    <row r="80" spans="1:21" x14ac:dyDescent="0.2">
      <c r="A80" s="18" t="s">
        <v>22</v>
      </c>
      <c r="B80" s="18"/>
      <c r="C80" s="41" t="s">
        <v>44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x14ac:dyDescent="0.2">
      <c r="A81" s="18" t="s">
        <v>45</v>
      </c>
      <c r="B81" s="18" t="s">
        <v>42</v>
      </c>
      <c r="C81" s="24" t="s">
        <v>46</v>
      </c>
      <c r="D81" s="25" t="s">
        <v>47</v>
      </c>
      <c r="E81" s="25" t="s">
        <v>48</v>
      </c>
      <c r="F81" s="25" t="s">
        <v>49</v>
      </c>
      <c r="G81" s="25" t="s">
        <v>50</v>
      </c>
      <c r="H81" s="25" t="s">
        <v>51</v>
      </c>
      <c r="I81" s="25" t="s">
        <v>52</v>
      </c>
      <c r="J81" s="25" t="s">
        <v>53</v>
      </c>
      <c r="K81" s="25" t="s">
        <v>54</v>
      </c>
      <c r="L81" s="25" t="s">
        <v>55</v>
      </c>
      <c r="M81" s="25" t="s">
        <v>56</v>
      </c>
      <c r="N81" s="25" t="s">
        <v>57</v>
      </c>
      <c r="O81" s="25" t="s">
        <v>58</v>
      </c>
      <c r="P81" s="25" t="s">
        <v>59</v>
      </c>
      <c r="Q81" s="25" t="s">
        <v>60</v>
      </c>
      <c r="R81" s="25" t="s">
        <v>61</v>
      </c>
      <c r="S81" s="25" t="s">
        <v>62</v>
      </c>
      <c r="T81" s="25" t="s">
        <v>63</v>
      </c>
      <c r="U81" s="25" t="s">
        <v>64</v>
      </c>
    </row>
    <row r="82" spans="1:21" x14ac:dyDescent="0.2">
      <c r="A82" s="18" t="s">
        <v>0</v>
      </c>
      <c r="B82" s="20" t="s">
        <v>1</v>
      </c>
      <c r="C82" s="21">
        <v>245158</v>
      </c>
      <c r="D82" s="21"/>
      <c r="E82" s="21">
        <v>20311</v>
      </c>
      <c r="F82" s="21">
        <v>17774</v>
      </c>
      <c r="G82" s="21">
        <v>24743</v>
      </c>
      <c r="H82" s="21">
        <v>26034</v>
      </c>
      <c r="I82" s="21">
        <v>25950</v>
      </c>
      <c r="J82" s="21">
        <v>21342</v>
      </c>
      <c r="K82" s="21">
        <v>17797</v>
      </c>
      <c r="L82" s="21">
        <v>16532</v>
      </c>
      <c r="M82" s="21">
        <v>16102</v>
      </c>
      <c r="N82" s="21">
        <v>15095</v>
      </c>
      <c r="O82" s="21">
        <v>12883</v>
      </c>
      <c r="P82" s="21">
        <v>10502</v>
      </c>
      <c r="Q82" s="21">
        <v>8279</v>
      </c>
      <c r="R82" s="21">
        <v>5327</v>
      </c>
      <c r="S82" s="21">
        <v>3606</v>
      </c>
      <c r="T82" s="22">
        <v>1896</v>
      </c>
      <c r="U82" s="22">
        <v>985</v>
      </c>
    </row>
    <row r="83" spans="1:21" x14ac:dyDescent="0.2">
      <c r="A83" s="18" t="s">
        <v>0</v>
      </c>
      <c r="B83" s="20" t="s">
        <v>2</v>
      </c>
      <c r="C83" s="21">
        <v>125980</v>
      </c>
      <c r="D83" s="21"/>
      <c r="E83" s="21">
        <v>13020</v>
      </c>
      <c r="F83" s="21">
        <v>11174</v>
      </c>
      <c r="G83" s="21">
        <v>11061</v>
      </c>
      <c r="H83" s="21">
        <v>8973</v>
      </c>
      <c r="I83" s="21">
        <v>9145</v>
      </c>
      <c r="J83" s="21">
        <v>8151</v>
      </c>
      <c r="K83" s="21">
        <v>7578</v>
      </c>
      <c r="L83" s="21">
        <v>7945</v>
      </c>
      <c r="M83" s="21">
        <v>8054</v>
      </c>
      <c r="N83" s="21">
        <v>8026</v>
      </c>
      <c r="O83" s="21">
        <v>7889</v>
      </c>
      <c r="P83" s="21">
        <v>7320</v>
      </c>
      <c r="Q83" s="21">
        <v>6745</v>
      </c>
      <c r="R83" s="21">
        <v>4972</v>
      </c>
      <c r="S83" s="21">
        <v>3436</v>
      </c>
      <c r="T83" s="21">
        <v>1661</v>
      </c>
      <c r="U83" s="22">
        <v>830</v>
      </c>
    </row>
    <row r="84" spans="1:21" x14ac:dyDescent="0.2">
      <c r="A84" s="18" t="s">
        <v>0</v>
      </c>
      <c r="B84" s="20" t="s">
        <v>3</v>
      </c>
      <c r="C84" s="21">
        <v>279175</v>
      </c>
      <c r="D84" s="21"/>
      <c r="E84" s="21">
        <v>25379</v>
      </c>
      <c r="F84" s="21">
        <v>22261</v>
      </c>
      <c r="G84" s="21">
        <v>27942</v>
      </c>
      <c r="H84" s="21">
        <v>22108</v>
      </c>
      <c r="I84" s="21">
        <v>23347</v>
      </c>
      <c r="J84" s="21">
        <v>20475</v>
      </c>
      <c r="K84" s="21">
        <v>18225</v>
      </c>
      <c r="L84" s="21">
        <v>18520</v>
      </c>
      <c r="M84" s="21">
        <v>19673</v>
      </c>
      <c r="N84" s="21">
        <v>18438</v>
      </c>
      <c r="O84" s="21">
        <v>17389</v>
      </c>
      <c r="P84" s="21">
        <v>14507</v>
      </c>
      <c r="Q84" s="21">
        <v>12498</v>
      </c>
      <c r="R84" s="21">
        <v>8500</v>
      </c>
      <c r="S84" s="21">
        <v>5603</v>
      </c>
      <c r="T84" s="21">
        <v>2810</v>
      </c>
      <c r="U84" s="22">
        <v>1500</v>
      </c>
    </row>
    <row r="85" spans="1:21" x14ac:dyDescent="0.2">
      <c r="A85" s="18" t="s">
        <v>0</v>
      </c>
      <c r="B85" s="20" t="s">
        <v>4</v>
      </c>
      <c r="C85" s="21">
        <v>150789</v>
      </c>
      <c r="D85" s="21"/>
      <c r="E85" s="21">
        <v>13349</v>
      </c>
      <c r="F85" s="21">
        <v>11820</v>
      </c>
      <c r="G85" s="21">
        <v>16241</v>
      </c>
      <c r="H85" s="21">
        <v>14026</v>
      </c>
      <c r="I85" s="21">
        <v>13435</v>
      </c>
      <c r="J85" s="21">
        <v>11308</v>
      </c>
      <c r="K85" s="21">
        <v>10692</v>
      </c>
      <c r="L85" s="21">
        <v>10759</v>
      </c>
      <c r="M85" s="21">
        <v>10444</v>
      </c>
      <c r="N85" s="21">
        <v>9880</v>
      </c>
      <c r="O85" s="21">
        <v>8407</v>
      </c>
      <c r="P85" s="21">
        <v>6594</v>
      </c>
      <c r="Q85" s="21">
        <v>5537</v>
      </c>
      <c r="R85" s="21">
        <v>3930</v>
      </c>
      <c r="S85" s="21">
        <v>2456</v>
      </c>
      <c r="T85" s="21">
        <v>1257</v>
      </c>
      <c r="U85" s="22">
        <v>654</v>
      </c>
    </row>
    <row r="86" spans="1:21" x14ac:dyDescent="0.2">
      <c r="A86" s="18" t="s">
        <v>0</v>
      </c>
      <c r="B86" s="20" t="s">
        <v>5</v>
      </c>
      <c r="C86" s="21">
        <v>286439</v>
      </c>
      <c r="D86" s="21"/>
      <c r="E86" s="21">
        <v>33420</v>
      </c>
      <c r="F86" s="21">
        <v>27350</v>
      </c>
      <c r="G86" s="21">
        <v>30780</v>
      </c>
      <c r="H86" s="21">
        <v>24808</v>
      </c>
      <c r="I86" s="21">
        <v>25342</v>
      </c>
      <c r="J86" s="21">
        <v>21957</v>
      </c>
      <c r="K86" s="21">
        <v>19709</v>
      </c>
      <c r="L86" s="21">
        <v>18207</v>
      </c>
      <c r="M86" s="21">
        <v>18571</v>
      </c>
      <c r="N86" s="21">
        <v>17565</v>
      </c>
      <c r="O86" s="21">
        <v>14764</v>
      </c>
      <c r="P86" s="21">
        <v>11812</v>
      </c>
      <c r="Q86" s="21">
        <v>9371</v>
      </c>
      <c r="R86" s="21">
        <v>6253</v>
      </c>
      <c r="S86" s="21">
        <v>3879</v>
      </c>
      <c r="T86" s="21">
        <v>1821</v>
      </c>
      <c r="U86" s="22">
        <v>830</v>
      </c>
    </row>
    <row r="87" spans="1:21" x14ac:dyDescent="0.2">
      <c r="A87" s="18" t="s">
        <v>0</v>
      </c>
      <c r="B87" s="20" t="s">
        <v>6</v>
      </c>
      <c r="C87" s="21">
        <v>83841</v>
      </c>
      <c r="D87" s="21"/>
      <c r="E87" s="21">
        <v>8710</v>
      </c>
      <c r="F87" s="21">
        <v>7703</v>
      </c>
      <c r="G87" s="21">
        <v>7535</v>
      </c>
      <c r="H87" s="21">
        <v>5909</v>
      </c>
      <c r="I87" s="21">
        <v>5995</v>
      </c>
      <c r="J87" s="21">
        <v>5256</v>
      </c>
      <c r="K87" s="21">
        <v>4989</v>
      </c>
      <c r="L87" s="21">
        <v>5408</v>
      </c>
      <c r="M87" s="21">
        <v>5583</v>
      </c>
      <c r="N87" s="21">
        <v>5613</v>
      </c>
      <c r="O87" s="21">
        <v>5531</v>
      </c>
      <c r="P87" s="21">
        <v>4755</v>
      </c>
      <c r="Q87" s="21">
        <v>4394</v>
      </c>
      <c r="R87" s="21">
        <v>3049</v>
      </c>
      <c r="S87" s="21">
        <v>1969</v>
      </c>
      <c r="T87" s="21">
        <v>972</v>
      </c>
      <c r="U87" s="22">
        <v>470</v>
      </c>
    </row>
    <row r="88" spans="1:21" x14ac:dyDescent="0.2">
      <c r="A88" s="18" t="s">
        <v>0</v>
      </c>
      <c r="B88" s="20" t="s">
        <v>7</v>
      </c>
      <c r="C88" s="21">
        <v>73746</v>
      </c>
      <c r="D88" s="21"/>
      <c r="E88" s="21">
        <v>7437</v>
      </c>
      <c r="F88" s="21">
        <v>6236</v>
      </c>
      <c r="G88" s="21">
        <v>6742</v>
      </c>
      <c r="H88" s="21">
        <v>5529</v>
      </c>
      <c r="I88" s="21">
        <v>6134</v>
      </c>
      <c r="J88" s="21">
        <v>5798</v>
      </c>
      <c r="K88" s="21">
        <v>5325</v>
      </c>
      <c r="L88" s="21">
        <v>5121</v>
      </c>
      <c r="M88" s="21">
        <v>5313</v>
      </c>
      <c r="N88" s="21">
        <v>4793</v>
      </c>
      <c r="O88" s="21">
        <v>4568</v>
      </c>
      <c r="P88" s="21">
        <v>3582</v>
      </c>
      <c r="Q88" s="21">
        <v>2907</v>
      </c>
      <c r="R88" s="21">
        <v>1929</v>
      </c>
      <c r="S88" s="21">
        <v>1360</v>
      </c>
      <c r="T88" s="21">
        <v>653</v>
      </c>
      <c r="U88" s="22">
        <v>319</v>
      </c>
    </row>
    <row r="89" spans="1:21" x14ac:dyDescent="0.2">
      <c r="A89" s="18" t="s">
        <v>0</v>
      </c>
      <c r="B89" s="20" t="s">
        <v>8</v>
      </c>
      <c r="C89" s="21">
        <v>54655</v>
      </c>
      <c r="D89" s="21"/>
      <c r="E89" s="21">
        <v>6144</v>
      </c>
      <c r="F89" s="21">
        <v>5317</v>
      </c>
      <c r="G89" s="21">
        <v>5050</v>
      </c>
      <c r="H89" s="21">
        <v>3896</v>
      </c>
      <c r="I89" s="21">
        <v>4063</v>
      </c>
      <c r="J89" s="21">
        <v>3534</v>
      </c>
      <c r="K89" s="21">
        <v>3231</v>
      </c>
      <c r="L89" s="21">
        <v>3521</v>
      </c>
      <c r="M89" s="21">
        <v>3633</v>
      </c>
      <c r="N89" s="21">
        <v>3602</v>
      </c>
      <c r="O89" s="21">
        <v>3479</v>
      </c>
      <c r="P89" s="21">
        <v>2894</v>
      </c>
      <c r="Q89" s="21">
        <v>2620</v>
      </c>
      <c r="R89" s="21">
        <v>1765</v>
      </c>
      <c r="S89" s="21">
        <v>1155</v>
      </c>
      <c r="T89" s="21">
        <v>514</v>
      </c>
      <c r="U89" s="22">
        <v>237</v>
      </c>
    </row>
    <row r="90" spans="1:21" x14ac:dyDescent="0.2">
      <c r="A90" s="18" t="s">
        <v>0</v>
      </c>
      <c r="B90" s="20" t="s">
        <v>9</v>
      </c>
      <c r="C90" s="21">
        <v>86888</v>
      </c>
      <c r="D90" s="21"/>
      <c r="E90" s="21">
        <v>9002</v>
      </c>
      <c r="F90" s="21">
        <v>7875</v>
      </c>
      <c r="G90" s="21">
        <v>8618</v>
      </c>
      <c r="H90" s="21">
        <v>6494</v>
      </c>
      <c r="I90" s="21">
        <v>6178</v>
      </c>
      <c r="J90" s="21">
        <v>5428</v>
      </c>
      <c r="K90" s="21">
        <v>5074</v>
      </c>
      <c r="L90" s="21">
        <v>5199</v>
      </c>
      <c r="M90" s="21">
        <v>5516</v>
      </c>
      <c r="N90" s="21">
        <v>5732</v>
      </c>
      <c r="O90" s="21">
        <v>5723</v>
      </c>
      <c r="P90" s="21">
        <v>4805</v>
      </c>
      <c r="Q90" s="21">
        <v>4381</v>
      </c>
      <c r="R90" s="21">
        <v>3231</v>
      </c>
      <c r="S90" s="21">
        <v>2136</v>
      </c>
      <c r="T90" s="21">
        <v>1017</v>
      </c>
      <c r="U90" s="22">
        <v>479</v>
      </c>
    </row>
    <row r="91" spans="1:21" x14ac:dyDescent="0.2">
      <c r="A91" s="18" t="s">
        <v>0</v>
      </c>
      <c r="B91" s="20" t="s">
        <v>10</v>
      </c>
      <c r="C91" s="21">
        <v>78577</v>
      </c>
      <c r="D91" s="21"/>
      <c r="E91" s="21">
        <v>6861</v>
      </c>
      <c r="F91" s="21">
        <v>6223</v>
      </c>
      <c r="G91" s="21">
        <v>6086</v>
      </c>
      <c r="H91" s="21">
        <v>4939</v>
      </c>
      <c r="I91" s="21">
        <v>5158</v>
      </c>
      <c r="J91" s="21">
        <v>4890</v>
      </c>
      <c r="K91" s="21">
        <v>4664</v>
      </c>
      <c r="L91" s="21">
        <v>5327</v>
      </c>
      <c r="M91" s="21">
        <v>5650</v>
      </c>
      <c r="N91" s="21">
        <v>5760</v>
      </c>
      <c r="O91" s="21">
        <v>5818</v>
      </c>
      <c r="P91" s="21">
        <v>5191</v>
      </c>
      <c r="Q91" s="21">
        <v>4918</v>
      </c>
      <c r="R91" s="21">
        <v>3431</v>
      </c>
      <c r="S91" s="21">
        <v>2160</v>
      </c>
      <c r="T91" s="21">
        <v>1029</v>
      </c>
      <c r="U91" s="22">
        <v>472</v>
      </c>
    </row>
    <row r="92" spans="1:21" x14ac:dyDescent="0.2">
      <c r="A92" s="18" t="s">
        <v>0</v>
      </c>
      <c r="B92" s="20" t="s">
        <v>11</v>
      </c>
      <c r="C92" s="21">
        <v>93801</v>
      </c>
      <c r="D92" s="21"/>
      <c r="E92" s="21">
        <v>10043</v>
      </c>
      <c r="F92" s="21">
        <v>8367</v>
      </c>
      <c r="G92" s="21">
        <v>7459</v>
      </c>
      <c r="H92" s="21">
        <v>5484</v>
      </c>
      <c r="I92" s="21">
        <v>6030</v>
      </c>
      <c r="J92" s="21">
        <v>5464</v>
      </c>
      <c r="K92" s="21">
        <v>4956</v>
      </c>
      <c r="L92" s="21">
        <v>5515</v>
      </c>
      <c r="M92" s="21">
        <v>6340</v>
      </c>
      <c r="N92" s="21">
        <v>6833</v>
      </c>
      <c r="O92" s="21">
        <v>6918</v>
      </c>
      <c r="P92" s="21">
        <v>6555</v>
      </c>
      <c r="Q92" s="21">
        <v>5816</v>
      </c>
      <c r="R92" s="21">
        <v>3959</v>
      </c>
      <c r="S92" s="21">
        <v>2437</v>
      </c>
      <c r="T92" s="21">
        <v>1115</v>
      </c>
      <c r="U92" s="22">
        <v>510</v>
      </c>
    </row>
    <row r="93" spans="1:21" x14ac:dyDescent="0.2">
      <c r="A93" s="18" t="s">
        <v>0</v>
      </c>
      <c r="B93" s="20" t="s">
        <v>12</v>
      </c>
      <c r="C93" s="21">
        <v>17541</v>
      </c>
      <c r="D93" s="21"/>
      <c r="E93" s="21">
        <v>96</v>
      </c>
      <c r="F93" s="21">
        <v>605</v>
      </c>
      <c r="G93" s="21">
        <v>1997</v>
      </c>
      <c r="H93" s="21">
        <v>2908</v>
      </c>
      <c r="I93" s="21">
        <v>2887</v>
      </c>
      <c r="J93" s="21">
        <v>2257</v>
      </c>
      <c r="K93" s="21">
        <v>1762</v>
      </c>
      <c r="L93" s="21">
        <v>1103</v>
      </c>
      <c r="M93" s="21">
        <v>1442</v>
      </c>
      <c r="N93" s="21">
        <v>1073</v>
      </c>
      <c r="O93" s="21">
        <v>855</v>
      </c>
      <c r="P93" s="21">
        <v>244</v>
      </c>
      <c r="Q93" s="21">
        <v>189</v>
      </c>
      <c r="R93" s="21">
        <v>85</v>
      </c>
      <c r="S93" s="21">
        <v>38</v>
      </c>
      <c r="T93" s="21"/>
      <c r="U93" s="22"/>
    </row>
    <row r="94" spans="1:21" x14ac:dyDescent="0.2">
      <c r="A94" s="18" t="s">
        <v>0</v>
      </c>
      <c r="B94" s="20" t="s">
        <v>13</v>
      </c>
      <c r="C94" s="21">
        <v>29846</v>
      </c>
      <c r="D94" s="21"/>
      <c r="E94" s="21">
        <v>2693</v>
      </c>
      <c r="F94" s="21">
        <v>2345</v>
      </c>
      <c r="G94" s="21">
        <v>2386</v>
      </c>
      <c r="H94" s="21">
        <v>2062</v>
      </c>
      <c r="I94" s="21">
        <v>2041</v>
      </c>
      <c r="J94" s="21">
        <v>1825</v>
      </c>
      <c r="K94" s="21">
        <v>1699</v>
      </c>
      <c r="L94" s="21">
        <v>1906</v>
      </c>
      <c r="M94" s="21">
        <v>2037</v>
      </c>
      <c r="N94" s="21">
        <v>2133</v>
      </c>
      <c r="O94" s="21">
        <v>2165</v>
      </c>
      <c r="P94" s="21">
        <v>2019</v>
      </c>
      <c r="Q94" s="21">
        <v>1828</v>
      </c>
      <c r="R94" s="21">
        <v>1244</v>
      </c>
      <c r="S94" s="21">
        <v>848</v>
      </c>
      <c r="T94" s="21">
        <v>422</v>
      </c>
      <c r="U94" s="22">
        <v>193</v>
      </c>
    </row>
    <row r="95" spans="1:21" x14ac:dyDescent="0.2">
      <c r="A95" s="18" t="s">
        <v>0</v>
      </c>
      <c r="B95" s="20" t="s">
        <v>14</v>
      </c>
      <c r="C95" s="21">
        <v>165091</v>
      </c>
      <c r="D95" s="21"/>
      <c r="E95" s="21">
        <v>14528</v>
      </c>
      <c r="F95" s="21">
        <v>12865</v>
      </c>
      <c r="G95" s="21">
        <v>17397</v>
      </c>
      <c r="H95" s="21">
        <v>13105</v>
      </c>
      <c r="I95" s="21">
        <v>13402</v>
      </c>
      <c r="J95" s="21">
        <v>11720</v>
      </c>
      <c r="K95" s="21">
        <v>10379</v>
      </c>
      <c r="L95" s="21">
        <v>10658</v>
      </c>
      <c r="M95" s="21">
        <v>10729</v>
      </c>
      <c r="N95" s="21">
        <v>10936</v>
      </c>
      <c r="O95" s="21">
        <v>10845</v>
      </c>
      <c r="P95" s="21">
        <v>9318</v>
      </c>
      <c r="Q95" s="21">
        <v>7927</v>
      </c>
      <c r="R95" s="21">
        <v>5254</v>
      </c>
      <c r="S95" s="21">
        <v>3517</v>
      </c>
      <c r="T95" s="21">
        <v>1723</v>
      </c>
      <c r="U95" s="22">
        <v>788</v>
      </c>
    </row>
    <row r="96" spans="1:21" x14ac:dyDescent="0.2">
      <c r="A96" s="18" t="s">
        <v>0</v>
      </c>
      <c r="B96" s="20" t="s">
        <v>15</v>
      </c>
      <c r="C96" s="21">
        <v>24449</v>
      </c>
      <c r="D96" s="21"/>
      <c r="E96" s="21">
        <v>2803</v>
      </c>
      <c r="F96" s="21">
        <v>2534</v>
      </c>
      <c r="G96" s="21">
        <v>2412</v>
      </c>
      <c r="H96" s="21">
        <v>1834</v>
      </c>
      <c r="I96" s="21">
        <v>1821</v>
      </c>
      <c r="J96" s="21">
        <v>1463</v>
      </c>
      <c r="K96" s="21">
        <v>1447</v>
      </c>
      <c r="L96" s="21">
        <v>1568</v>
      </c>
      <c r="M96" s="21">
        <v>1532</v>
      </c>
      <c r="N96" s="21">
        <v>1532</v>
      </c>
      <c r="O96" s="21">
        <v>1529</v>
      </c>
      <c r="P96" s="21">
        <v>1451</v>
      </c>
      <c r="Q96" s="21">
        <v>1107</v>
      </c>
      <c r="R96" s="21">
        <v>676</v>
      </c>
      <c r="S96" s="21">
        <v>417</v>
      </c>
      <c r="T96" s="21">
        <v>211</v>
      </c>
      <c r="U96" s="22">
        <v>112</v>
      </c>
    </row>
    <row r="97" spans="1:21" x14ac:dyDescent="0.2">
      <c r="A97" s="18" t="s">
        <v>0</v>
      </c>
      <c r="B97" s="20" t="s">
        <v>16</v>
      </c>
      <c r="C97" s="21">
        <v>59059</v>
      </c>
      <c r="D97" s="21"/>
      <c r="E97" s="21">
        <v>6465</v>
      </c>
      <c r="F97" s="21">
        <v>5437</v>
      </c>
      <c r="G97" s="21">
        <v>5012</v>
      </c>
      <c r="H97" s="21">
        <v>3672</v>
      </c>
      <c r="I97" s="21">
        <v>4011</v>
      </c>
      <c r="J97" s="21">
        <v>3857</v>
      </c>
      <c r="K97" s="21">
        <v>3732</v>
      </c>
      <c r="L97" s="21">
        <v>3870</v>
      </c>
      <c r="M97" s="21">
        <v>4000</v>
      </c>
      <c r="N97" s="21">
        <v>3975</v>
      </c>
      <c r="O97" s="21">
        <v>4004</v>
      </c>
      <c r="P97" s="21">
        <v>3565</v>
      </c>
      <c r="Q97" s="21">
        <v>3012</v>
      </c>
      <c r="R97" s="21">
        <v>2078</v>
      </c>
      <c r="S97" s="21">
        <v>1296</v>
      </c>
      <c r="T97" s="21">
        <v>697</v>
      </c>
      <c r="U97" s="22">
        <v>376</v>
      </c>
    </row>
    <row r="98" spans="1:21" x14ac:dyDescent="0.2">
      <c r="A98" s="18" t="s">
        <v>0</v>
      </c>
      <c r="B98" s="20" t="s">
        <v>17</v>
      </c>
      <c r="C98" s="21">
        <v>207988</v>
      </c>
      <c r="D98" s="21"/>
      <c r="E98" s="21">
        <v>22518</v>
      </c>
      <c r="F98" s="21">
        <v>18619</v>
      </c>
      <c r="G98" s="21">
        <v>20051</v>
      </c>
      <c r="H98" s="21">
        <v>16349</v>
      </c>
      <c r="I98" s="21">
        <v>15989</v>
      </c>
      <c r="J98" s="21">
        <v>14244</v>
      </c>
      <c r="K98" s="21">
        <v>13073</v>
      </c>
      <c r="L98" s="21">
        <v>13072</v>
      </c>
      <c r="M98" s="21">
        <v>13531</v>
      </c>
      <c r="N98" s="21">
        <v>12867</v>
      </c>
      <c r="O98" s="21">
        <v>12564</v>
      </c>
      <c r="P98" s="21">
        <v>11024</v>
      </c>
      <c r="Q98" s="21">
        <v>9769</v>
      </c>
      <c r="R98" s="21">
        <v>6739</v>
      </c>
      <c r="S98" s="21">
        <v>4398</v>
      </c>
      <c r="T98" s="21">
        <v>2157</v>
      </c>
      <c r="U98" s="22">
        <v>1024</v>
      </c>
    </row>
    <row r="99" spans="1:21" x14ac:dyDescent="0.2">
      <c r="A99" s="18" t="s">
        <v>0</v>
      </c>
      <c r="B99" s="20" t="s">
        <v>18</v>
      </c>
      <c r="C99" s="21">
        <v>23241</v>
      </c>
      <c r="D99" s="21"/>
      <c r="E99" s="21">
        <v>2167</v>
      </c>
      <c r="F99" s="21">
        <v>1993</v>
      </c>
      <c r="G99" s="21">
        <v>1785</v>
      </c>
      <c r="H99" s="21">
        <v>1351</v>
      </c>
      <c r="I99" s="21">
        <v>1451</v>
      </c>
      <c r="J99" s="21">
        <v>1331</v>
      </c>
      <c r="K99" s="21">
        <v>1302</v>
      </c>
      <c r="L99" s="21">
        <v>1436</v>
      </c>
      <c r="M99" s="21">
        <v>1632</v>
      </c>
      <c r="N99" s="21">
        <v>1697</v>
      </c>
      <c r="O99" s="21">
        <v>1794</v>
      </c>
      <c r="P99" s="21">
        <v>1622</v>
      </c>
      <c r="Q99" s="21">
        <v>1529</v>
      </c>
      <c r="R99" s="21">
        <v>1072</v>
      </c>
      <c r="S99" s="21">
        <v>631</v>
      </c>
      <c r="T99" s="21">
        <v>319</v>
      </c>
      <c r="U99" s="22">
        <v>129</v>
      </c>
    </row>
    <row r="100" spans="1:21" x14ac:dyDescent="0.2">
      <c r="A100" s="18" t="s">
        <v>0</v>
      </c>
      <c r="B100" s="20" t="s">
        <v>19</v>
      </c>
      <c r="C100" s="21">
        <v>303297</v>
      </c>
      <c r="D100" s="21"/>
      <c r="E100" s="21">
        <v>31551</v>
      </c>
      <c r="F100" s="21">
        <v>25583</v>
      </c>
      <c r="G100" s="21">
        <v>27655</v>
      </c>
      <c r="H100" s="21">
        <v>22414</v>
      </c>
      <c r="I100" s="21">
        <v>25278</v>
      </c>
      <c r="J100" s="21">
        <v>24959</v>
      </c>
      <c r="K100" s="21">
        <v>22588</v>
      </c>
      <c r="L100" s="21">
        <v>21305</v>
      </c>
      <c r="M100" s="21">
        <v>21455</v>
      </c>
      <c r="N100" s="21">
        <v>19667</v>
      </c>
      <c r="O100" s="21">
        <v>17075</v>
      </c>
      <c r="P100" s="21">
        <v>14042</v>
      </c>
      <c r="Q100" s="21">
        <v>11683</v>
      </c>
      <c r="R100" s="21">
        <v>8445</v>
      </c>
      <c r="S100" s="21">
        <v>5441</v>
      </c>
      <c r="T100" s="21">
        <v>2814</v>
      </c>
      <c r="U100" s="22">
        <v>1342</v>
      </c>
    </row>
    <row r="101" spans="1:21" x14ac:dyDescent="0.2">
      <c r="A101" s="18" t="s">
        <v>0</v>
      </c>
      <c r="B101" s="20" t="s">
        <v>20</v>
      </c>
      <c r="C101" s="21">
        <v>16103</v>
      </c>
      <c r="D101" s="21"/>
      <c r="E101" s="21">
        <v>1341</v>
      </c>
      <c r="F101" s="21">
        <v>1278</v>
      </c>
      <c r="G101" s="21">
        <v>1036</v>
      </c>
      <c r="H101" s="21">
        <v>863</v>
      </c>
      <c r="I101" s="21">
        <v>973</v>
      </c>
      <c r="J101" s="21">
        <v>912</v>
      </c>
      <c r="K101" s="21">
        <v>869</v>
      </c>
      <c r="L101" s="21">
        <v>977</v>
      </c>
      <c r="M101" s="21">
        <v>1194</v>
      </c>
      <c r="N101" s="21">
        <v>1429</v>
      </c>
      <c r="O101" s="21">
        <v>1497</v>
      </c>
      <c r="P101" s="21">
        <v>1356</v>
      </c>
      <c r="Q101" s="21">
        <v>1074</v>
      </c>
      <c r="R101" s="21">
        <v>653</v>
      </c>
      <c r="S101" s="21">
        <v>391</v>
      </c>
      <c r="T101" s="21">
        <v>177</v>
      </c>
      <c r="U101" s="22">
        <v>83</v>
      </c>
    </row>
    <row r="102" spans="1:21" x14ac:dyDescent="0.2">
      <c r="A102" s="18" t="s">
        <v>0</v>
      </c>
      <c r="B102" s="20" t="s">
        <v>21</v>
      </c>
      <c r="C102" s="21">
        <v>32276</v>
      </c>
      <c r="D102" s="21"/>
      <c r="E102" s="21">
        <v>3366</v>
      </c>
      <c r="F102" s="21">
        <v>2817</v>
      </c>
      <c r="G102" s="21">
        <v>2889</v>
      </c>
      <c r="H102" s="21">
        <v>2148</v>
      </c>
      <c r="I102" s="21">
        <v>2180</v>
      </c>
      <c r="J102" s="21">
        <v>1863</v>
      </c>
      <c r="K102" s="21">
        <v>1746</v>
      </c>
      <c r="L102" s="21">
        <v>1896</v>
      </c>
      <c r="M102" s="21">
        <v>2130</v>
      </c>
      <c r="N102" s="21">
        <v>2302</v>
      </c>
      <c r="O102" s="21">
        <v>2317</v>
      </c>
      <c r="P102" s="21">
        <v>2110</v>
      </c>
      <c r="Q102" s="21">
        <v>1852</v>
      </c>
      <c r="R102" s="21">
        <v>1269</v>
      </c>
      <c r="S102" s="21">
        <v>805</v>
      </c>
      <c r="T102" s="21">
        <v>390</v>
      </c>
      <c r="U102" s="22">
        <v>196</v>
      </c>
    </row>
    <row r="103" spans="1:21" x14ac:dyDescent="0.2">
      <c r="A103" s="18" t="s">
        <v>0</v>
      </c>
      <c r="B103" s="18" t="s">
        <v>22</v>
      </c>
      <c r="C103" s="21">
        <v>2437940</v>
      </c>
      <c r="D103" s="21"/>
      <c r="E103" s="21">
        <v>241204</v>
      </c>
      <c r="F103" s="21">
        <v>206176</v>
      </c>
      <c r="G103" s="21">
        <v>234877</v>
      </c>
      <c r="H103" s="21">
        <v>194906</v>
      </c>
      <c r="I103" s="21">
        <v>200810</v>
      </c>
      <c r="J103" s="21">
        <v>178034</v>
      </c>
      <c r="K103" s="21">
        <v>160837</v>
      </c>
      <c r="L103" s="21">
        <v>159845</v>
      </c>
      <c r="M103" s="21">
        <v>164561</v>
      </c>
      <c r="N103" s="21">
        <v>158948</v>
      </c>
      <c r="O103" s="21">
        <v>148014</v>
      </c>
      <c r="P103" s="21">
        <v>125268</v>
      </c>
      <c r="Q103" s="21">
        <v>107436</v>
      </c>
      <c r="R103" s="21">
        <v>73861</v>
      </c>
      <c r="S103" s="21">
        <v>47979</v>
      </c>
      <c r="T103" s="21">
        <v>23655</v>
      </c>
      <c r="U103" s="22">
        <v>11529</v>
      </c>
    </row>
    <row r="104" spans="1:21" x14ac:dyDescent="0.2">
      <c r="A104" s="18" t="s">
        <v>23</v>
      </c>
      <c r="B104" s="20" t="s">
        <v>1</v>
      </c>
      <c r="C104" s="21">
        <v>247357</v>
      </c>
      <c r="D104" s="21"/>
      <c r="E104" s="21">
        <v>19221</v>
      </c>
      <c r="F104" s="21">
        <v>17083</v>
      </c>
      <c r="G104" s="21">
        <v>25450</v>
      </c>
      <c r="H104" s="21">
        <v>25318</v>
      </c>
      <c r="I104" s="21">
        <v>25591</v>
      </c>
      <c r="J104" s="21">
        <v>20652</v>
      </c>
      <c r="K104" s="21">
        <v>17385</v>
      </c>
      <c r="L104" s="21">
        <v>16583</v>
      </c>
      <c r="M104" s="21">
        <v>16558</v>
      </c>
      <c r="N104" s="21">
        <v>15270</v>
      </c>
      <c r="O104" s="21">
        <v>13184</v>
      </c>
      <c r="P104" s="21">
        <v>11019</v>
      </c>
      <c r="Q104" s="21">
        <v>8664</v>
      </c>
      <c r="R104" s="21">
        <v>6154</v>
      </c>
      <c r="S104" s="21">
        <v>4566</v>
      </c>
      <c r="T104" s="22">
        <v>2647</v>
      </c>
      <c r="U104" s="22">
        <v>2012</v>
      </c>
    </row>
    <row r="105" spans="1:21" x14ac:dyDescent="0.2">
      <c r="A105" s="18" t="s">
        <v>23</v>
      </c>
      <c r="B105" s="20" t="s">
        <v>2</v>
      </c>
      <c r="C105" s="21">
        <v>130637</v>
      </c>
      <c r="D105" s="21"/>
      <c r="E105" s="21">
        <v>12279</v>
      </c>
      <c r="F105" s="21">
        <v>10464</v>
      </c>
      <c r="G105" s="21">
        <v>9773</v>
      </c>
      <c r="H105" s="21">
        <v>8433</v>
      </c>
      <c r="I105" s="21">
        <v>9627</v>
      </c>
      <c r="J105" s="21">
        <v>8705</v>
      </c>
      <c r="K105" s="21">
        <v>8003</v>
      </c>
      <c r="L105" s="21">
        <v>8416</v>
      </c>
      <c r="M105" s="21">
        <v>8786</v>
      </c>
      <c r="N105" s="21">
        <v>8861</v>
      </c>
      <c r="O105" s="21">
        <v>8776</v>
      </c>
      <c r="P105" s="21">
        <v>8091</v>
      </c>
      <c r="Q105" s="21">
        <v>7289</v>
      </c>
      <c r="R105" s="21">
        <v>5505</v>
      </c>
      <c r="S105" s="21">
        <v>4072</v>
      </c>
      <c r="T105" s="21">
        <v>2139</v>
      </c>
      <c r="U105" s="22">
        <v>1418</v>
      </c>
    </row>
    <row r="106" spans="1:21" x14ac:dyDescent="0.2">
      <c r="A106" s="18" t="s">
        <v>23</v>
      </c>
      <c r="B106" s="20" t="s">
        <v>3</v>
      </c>
      <c r="C106" s="21">
        <v>282697</v>
      </c>
      <c r="D106" s="21"/>
      <c r="E106" s="21">
        <v>24306</v>
      </c>
      <c r="F106" s="21">
        <v>20984</v>
      </c>
      <c r="G106" s="21">
        <v>25899</v>
      </c>
      <c r="H106" s="21">
        <v>21084</v>
      </c>
      <c r="I106" s="21">
        <v>23156</v>
      </c>
      <c r="J106" s="21">
        <v>20162</v>
      </c>
      <c r="K106" s="21">
        <v>18595</v>
      </c>
      <c r="L106" s="21">
        <v>19259</v>
      </c>
      <c r="M106" s="21">
        <v>20188</v>
      </c>
      <c r="N106" s="21">
        <v>19057</v>
      </c>
      <c r="O106" s="21">
        <v>18006</v>
      </c>
      <c r="P106" s="21">
        <v>15283</v>
      </c>
      <c r="Q106" s="21">
        <v>13316</v>
      </c>
      <c r="R106" s="21">
        <v>9496</v>
      </c>
      <c r="S106" s="21">
        <v>6975</v>
      </c>
      <c r="T106" s="21">
        <v>4080</v>
      </c>
      <c r="U106" s="22">
        <v>2851</v>
      </c>
    </row>
    <row r="107" spans="1:21" x14ac:dyDescent="0.2">
      <c r="A107" s="18" t="s">
        <v>23</v>
      </c>
      <c r="B107" s="20" t="s">
        <v>4</v>
      </c>
      <c r="C107" s="21">
        <v>158938</v>
      </c>
      <c r="D107" s="21"/>
      <c r="E107" s="21">
        <v>12701</v>
      </c>
      <c r="F107" s="21">
        <v>11444</v>
      </c>
      <c r="G107" s="21">
        <v>17806</v>
      </c>
      <c r="H107" s="21">
        <v>14399</v>
      </c>
      <c r="I107" s="21">
        <v>13824</v>
      </c>
      <c r="J107" s="21">
        <v>11962</v>
      </c>
      <c r="K107" s="21">
        <v>10907</v>
      </c>
      <c r="L107" s="21">
        <v>11216</v>
      </c>
      <c r="M107" s="21">
        <v>11308</v>
      </c>
      <c r="N107" s="21">
        <v>10321</v>
      </c>
      <c r="O107" s="21">
        <v>8768</v>
      </c>
      <c r="P107" s="21">
        <v>7218</v>
      </c>
      <c r="Q107" s="21">
        <v>6113</v>
      </c>
      <c r="R107" s="21">
        <v>4540</v>
      </c>
      <c r="S107" s="21">
        <v>3271</v>
      </c>
      <c r="T107" s="21">
        <v>1910</v>
      </c>
      <c r="U107" s="22">
        <v>1230</v>
      </c>
    </row>
    <row r="108" spans="1:21" x14ac:dyDescent="0.2">
      <c r="A108" s="18" t="s">
        <v>23</v>
      </c>
      <c r="B108" s="20" t="s">
        <v>5</v>
      </c>
      <c r="C108" s="21">
        <v>287846</v>
      </c>
      <c r="D108" s="21"/>
      <c r="E108" s="21">
        <v>31331</v>
      </c>
      <c r="F108" s="21">
        <v>25877</v>
      </c>
      <c r="G108" s="21">
        <v>28762</v>
      </c>
      <c r="H108" s="21">
        <v>24039</v>
      </c>
      <c r="I108" s="21">
        <v>25736</v>
      </c>
      <c r="J108" s="21">
        <v>22763</v>
      </c>
      <c r="K108" s="21">
        <v>19895</v>
      </c>
      <c r="L108" s="21">
        <v>18750</v>
      </c>
      <c r="M108" s="21">
        <v>19117</v>
      </c>
      <c r="N108" s="21">
        <v>17601</v>
      </c>
      <c r="O108" s="21">
        <v>15319</v>
      </c>
      <c r="P108" s="21">
        <v>12695</v>
      </c>
      <c r="Q108" s="21">
        <v>9996</v>
      </c>
      <c r="R108" s="21">
        <v>6977</v>
      </c>
      <c r="S108" s="21">
        <v>4889</v>
      </c>
      <c r="T108" s="21">
        <v>2568</v>
      </c>
      <c r="U108" s="22">
        <v>1531</v>
      </c>
    </row>
    <row r="109" spans="1:21" x14ac:dyDescent="0.2">
      <c r="A109" s="18" t="s">
        <v>23</v>
      </c>
      <c r="B109" s="20" t="s">
        <v>6</v>
      </c>
      <c r="C109" s="21">
        <v>86901</v>
      </c>
      <c r="D109" s="21"/>
      <c r="E109" s="21">
        <v>8534</v>
      </c>
      <c r="F109" s="21">
        <v>7587</v>
      </c>
      <c r="G109" s="21">
        <v>6870</v>
      </c>
      <c r="H109" s="21">
        <v>5518</v>
      </c>
      <c r="I109" s="21">
        <v>6083</v>
      </c>
      <c r="J109" s="21">
        <v>5173</v>
      </c>
      <c r="K109" s="21">
        <v>5199</v>
      </c>
      <c r="L109" s="21">
        <v>5759</v>
      </c>
      <c r="M109" s="21">
        <v>6096</v>
      </c>
      <c r="N109" s="21">
        <v>6084</v>
      </c>
      <c r="O109" s="21">
        <v>5971</v>
      </c>
      <c r="P109" s="21">
        <v>5251</v>
      </c>
      <c r="Q109" s="21">
        <v>4763</v>
      </c>
      <c r="R109" s="21">
        <v>3430</v>
      </c>
      <c r="S109" s="21">
        <v>2384</v>
      </c>
      <c r="T109" s="21">
        <v>1375</v>
      </c>
      <c r="U109" s="22">
        <v>824</v>
      </c>
    </row>
    <row r="110" spans="1:21" x14ac:dyDescent="0.2">
      <c r="A110" s="18" t="s">
        <v>23</v>
      </c>
      <c r="B110" s="20" t="s">
        <v>7</v>
      </c>
      <c r="C110" s="21">
        <v>75559</v>
      </c>
      <c r="D110" s="21"/>
      <c r="E110" s="21">
        <v>7182</v>
      </c>
      <c r="F110" s="21">
        <v>5843</v>
      </c>
      <c r="G110" s="21">
        <v>6149</v>
      </c>
      <c r="H110" s="21">
        <v>5421</v>
      </c>
      <c r="I110" s="21">
        <v>6536</v>
      </c>
      <c r="J110" s="21">
        <v>6022</v>
      </c>
      <c r="K110" s="21">
        <v>5376</v>
      </c>
      <c r="L110" s="21">
        <v>5283</v>
      </c>
      <c r="M110" s="21">
        <v>5378</v>
      </c>
      <c r="N110" s="21">
        <v>4993</v>
      </c>
      <c r="O110" s="21">
        <v>4747</v>
      </c>
      <c r="P110" s="21">
        <v>3724</v>
      </c>
      <c r="Q110" s="21">
        <v>3125</v>
      </c>
      <c r="R110" s="21">
        <v>2333</v>
      </c>
      <c r="S110" s="21">
        <v>1756</v>
      </c>
      <c r="T110" s="21">
        <v>1018</v>
      </c>
      <c r="U110" s="22">
        <v>673</v>
      </c>
    </row>
    <row r="111" spans="1:21" x14ac:dyDescent="0.2">
      <c r="A111" s="18" t="s">
        <v>23</v>
      </c>
      <c r="B111" s="20" t="s">
        <v>8</v>
      </c>
      <c r="C111" s="21">
        <v>56065</v>
      </c>
      <c r="D111" s="21"/>
      <c r="E111" s="21">
        <v>5671</v>
      </c>
      <c r="F111" s="21">
        <v>4881</v>
      </c>
      <c r="G111" s="21">
        <v>4576</v>
      </c>
      <c r="H111" s="21">
        <v>3767</v>
      </c>
      <c r="I111" s="21">
        <v>4354</v>
      </c>
      <c r="J111" s="21">
        <v>3756</v>
      </c>
      <c r="K111" s="21">
        <v>3524</v>
      </c>
      <c r="L111" s="21">
        <v>3717</v>
      </c>
      <c r="M111" s="21">
        <v>3887</v>
      </c>
      <c r="N111" s="21">
        <v>3875</v>
      </c>
      <c r="O111" s="21">
        <v>3759</v>
      </c>
      <c r="P111" s="21">
        <v>3147</v>
      </c>
      <c r="Q111" s="21">
        <v>2815</v>
      </c>
      <c r="R111" s="21">
        <v>1868</v>
      </c>
      <c r="S111" s="21">
        <v>1314</v>
      </c>
      <c r="T111" s="21">
        <v>709</v>
      </c>
      <c r="U111" s="22">
        <v>445</v>
      </c>
    </row>
    <row r="112" spans="1:21" x14ac:dyDescent="0.2">
      <c r="A112" s="18" t="s">
        <v>23</v>
      </c>
      <c r="B112" s="20" t="s">
        <v>9</v>
      </c>
      <c r="C112" s="21">
        <v>90664</v>
      </c>
      <c r="D112" s="21"/>
      <c r="E112" s="21">
        <v>8581</v>
      </c>
      <c r="F112" s="21">
        <v>7313</v>
      </c>
      <c r="G112" s="21">
        <v>8521</v>
      </c>
      <c r="H112" s="21">
        <v>6212</v>
      </c>
      <c r="I112" s="21">
        <v>6537</v>
      </c>
      <c r="J112" s="21">
        <v>5748</v>
      </c>
      <c r="K112" s="21">
        <v>5288</v>
      </c>
      <c r="L112" s="21">
        <v>5563</v>
      </c>
      <c r="M112" s="21">
        <v>6145</v>
      </c>
      <c r="N112" s="21">
        <v>6221</v>
      </c>
      <c r="O112" s="21">
        <v>6049</v>
      </c>
      <c r="P112" s="21">
        <v>5236</v>
      </c>
      <c r="Q112" s="21">
        <v>4865</v>
      </c>
      <c r="R112" s="21">
        <v>3481</v>
      </c>
      <c r="S112" s="21">
        <v>2534</v>
      </c>
      <c r="T112" s="21">
        <v>1460</v>
      </c>
      <c r="U112" s="22">
        <v>910</v>
      </c>
    </row>
    <row r="113" spans="1:21" x14ac:dyDescent="0.2">
      <c r="A113" s="18" t="s">
        <v>23</v>
      </c>
      <c r="B113" s="20" t="s">
        <v>10</v>
      </c>
      <c r="C113" s="21">
        <v>78357</v>
      </c>
      <c r="D113" s="21"/>
      <c r="E113" s="21">
        <v>6496</v>
      </c>
      <c r="F113" s="21">
        <v>5892</v>
      </c>
      <c r="G113" s="21">
        <v>5117</v>
      </c>
      <c r="H113" s="21">
        <v>4220</v>
      </c>
      <c r="I113" s="21">
        <v>4944</v>
      </c>
      <c r="J113" s="21">
        <v>4974</v>
      </c>
      <c r="K113" s="21">
        <v>4764</v>
      </c>
      <c r="L113" s="21">
        <v>5418</v>
      </c>
      <c r="M113" s="21">
        <v>5927</v>
      </c>
      <c r="N113" s="21">
        <v>6173</v>
      </c>
      <c r="O113" s="21">
        <v>6010</v>
      </c>
      <c r="P113" s="21">
        <v>5397</v>
      </c>
      <c r="Q113" s="21">
        <v>5060</v>
      </c>
      <c r="R113" s="21">
        <v>3508</v>
      </c>
      <c r="S113" s="21">
        <v>2337</v>
      </c>
      <c r="T113" s="21">
        <v>1303</v>
      </c>
      <c r="U113" s="22">
        <v>817</v>
      </c>
    </row>
    <row r="114" spans="1:21" x14ac:dyDescent="0.2">
      <c r="A114" s="18" t="s">
        <v>23</v>
      </c>
      <c r="B114" s="20" t="s">
        <v>11</v>
      </c>
      <c r="C114" s="21">
        <v>95462</v>
      </c>
      <c r="D114" s="21"/>
      <c r="E114" s="21">
        <v>9509</v>
      </c>
      <c r="F114" s="21">
        <v>7997</v>
      </c>
      <c r="G114" s="21">
        <v>6869</v>
      </c>
      <c r="H114" s="21">
        <v>5508</v>
      </c>
      <c r="I114" s="21">
        <v>6355</v>
      </c>
      <c r="J114" s="21">
        <v>5610</v>
      </c>
      <c r="K114" s="21">
        <v>5159</v>
      </c>
      <c r="L114" s="21">
        <v>5898</v>
      </c>
      <c r="M114" s="21">
        <v>6870</v>
      </c>
      <c r="N114" s="21">
        <v>7315</v>
      </c>
      <c r="O114" s="21">
        <v>7390</v>
      </c>
      <c r="P114" s="21">
        <v>6560</v>
      </c>
      <c r="Q114" s="21">
        <v>5742</v>
      </c>
      <c r="R114" s="21">
        <v>3917</v>
      </c>
      <c r="S114" s="21">
        <v>2551</v>
      </c>
      <c r="T114" s="21">
        <v>1367</v>
      </c>
      <c r="U114" s="22">
        <v>845</v>
      </c>
    </row>
    <row r="115" spans="1:21" x14ac:dyDescent="0.2">
      <c r="A115" s="18" t="s">
        <v>23</v>
      </c>
      <c r="B115" s="20" t="s">
        <v>12</v>
      </c>
      <c r="C115" s="21">
        <v>6805</v>
      </c>
      <c r="D115" s="21"/>
      <c r="E115" s="21">
        <v>134</v>
      </c>
      <c r="F115" s="21">
        <v>522</v>
      </c>
      <c r="G115" s="21">
        <v>773</v>
      </c>
      <c r="H115" s="21">
        <v>856</v>
      </c>
      <c r="I115" s="21">
        <v>1071</v>
      </c>
      <c r="J115" s="21">
        <v>527</v>
      </c>
      <c r="K115" s="21">
        <v>405</v>
      </c>
      <c r="L115" s="21">
        <v>568</v>
      </c>
      <c r="M115" s="21">
        <v>442</v>
      </c>
      <c r="N115" s="21">
        <v>588</v>
      </c>
      <c r="O115" s="21">
        <v>411</v>
      </c>
      <c r="P115" s="21">
        <v>209</v>
      </c>
      <c r="Q115" s="21">
        <v>157</v>
      </c>
      <c r="R115" s="21">
        <v>59</v>
      </c>
      <c r="S115" s="21">
        <v>38</v>
      </c>
      <c r="T115" s="21">
        <v>26</v>
      </c>
      <c r="U115" s="22">
        <v>19</v>
      </c>
    </row>
    <row r="116" spans="1:21" x14ac:dyDescent="0.2">
      <c r="A116" s="18" t="s">
        <v>23</v>
      </c>
      <c r="B116" s="20" t="s">
        <v>13</v>
      </c>
      <c r="C116" s="21">
        <v>29558</v>
      </c>
      <c r="D116" s="21"/>
      <c r="E116" s="21">
        <v>2528</v>
      </c>
      <c r="F116" s="21">
        <v>2173</v>
      </c>
      <c r="G116" s="21">
        <v>2036</v>
      </c>
      <c r="H116" s="21">
        <v>1807</v>
      </c>
      <c r="I116" s="21">
        <v>1958</v>
      </c>
      <c r="J116" s="21">
        <v>1685</v>
      </c>
      <c r="K116" s="21">
        <v>1716</v>
      </c>
      <c r="L116" s="21">
        <v>1908</v>
      </c>
      <c r="M116" s="21">
        <v>2119</v>
      </c>
      <c r="N116" s="21">
        <v>2287</v>
      </c>
      <c r="O116" s="21">
        <v>2241</v>
      </c>
      <c r="P116" s="21">
        <v>1926</v>
      </c>
      <c r="Q116" s="21">
        <v>1852</v>
      </c>
      <c r="R116" s="21">
        <v>1331</v>
      </c>
      <c r="S116" s="21">
        <v>1052</v>
      </c>
      <c r="T116" s="21">
        <v>590</v>
      </c>
      <c r="U116" s="22">
        <v>349</v>
      </c>
    </row>
    <row r="117" spans="1:21" x14ac:dyDescent="0.2">
      <c r="A117" s="18" t="s">
        <v>23</v>
      </c>
      <c r="B117" s="20" t="s">
        <v>14</v>
      </c>
      <c r="C117" s="21">
        <v>166682</v>
      </c>
      <c r="D117" s="21"/>
      <c r="E117" s="21">
        <v>13797</v>
      </c>
      <c r="F117" s="21">
        <v>11813</v>
      </c>
      <c r="G117" s="21">
        <v>18566</v>
      </c>
      <c r="H117" s="21">
        <v>12088</v>
      </c>
      <c r="I117" s="21">
        <v>12942</v>
      </c>
      <c r="J117" s="21">
        <v>11451</v>
      </c>
      <c r="K117" s="21">
        <v>10425</v>
      </c>
      <c r="L117" s="21">
        <v>10703</v>
      </c>
      <c r="M117" s="21">
        <v>11250</v>
      </c>
      <c r="N117" s="21">
        <v>11321</v>
      </c>
      <c r="O117" s="21">
        <v>11044</v>
      </c>
      <c r="P117" s="21">
        <v>9180</v>
      </c>
      <c r="Q117" s="21">
        <v>8041</v>
      </c>
      <c r="R117" s="21">
        <v>5676</v>
      </c>
      <c r="S117" s="21">
        <v>4233</v>
      </c>
      <c r="T117" s="21">
        <v>2467</v>
      </c>
      <c r="U117" s="22">
        <v>1685</v>
      </c>
    </row>
    <row r="118" spans="1:21" x14ac:dyDescent="0.2">
      <c r="A118" s="18" t="s">
        <v>23</v>
      </c>
      <c r="B118" s="20" t="s">
        <v>15</v>
      </c>
      <c r="C118" s="21">
        <v>24896</v>
      </c>
      <c r="D118" s="21"/>
      <c r="E118" s="21">
        <v>2733</v>
      </c>
      <c r="F118" s="21">
        <v>2362</v>
      </c>
      <c r="G118" s="21">
        <v>2123</v>
      </c>
      <c r="H118" s="21">
        <v>1743</v>
      </c>
      <c r="I118" s="21">
        <v>1813</v>
      </c>
      <c r="J118" s="21">
        <v>1623</v>
      </c>
      <c r="K118" s="21">
        <v>1568</v>
      </c>
      <c r="L118" s="21">
        <v>1551</v>
      </c>
      <c r="M118" s="21">
        <v>1687</v>
      </c>
      <c r="N118" s="21">
        <v>1647</v>
      </c>
      <c r="O118" s="21">
        <v>1696</v>
      </c>
      <c r="P118" s="21">
        <v>1357</v>
      </c>
      <c r="Q118" s="21">
        <v>1157</v>
      </c>
      <c r="R118" s="21">
        <v>751</v>
      </c>
      <c r="S118" s="21">
        <v>583</v>
      </c>
      <c r="T118" s="21">
        <v>285</v>
      </c>
      <c r="U118" s="22">
        <v>217</v>
      </c>
    </row>
    <row r="119" spans="1:21" x14ac:dyDescent="0.2">
      <c r="A119" s="18" t="s">
        <v>23</v>
      </c>
      <c r="B119" s="20" t="s">
        <v>16</v>
      </c>
      <c r="C119" s="21">
        <v>60546</v>
      </c>
      <c r="D119" s="21"/>
      <c r="E119" s="21">
        <v>6154</v>
      </c>
      <c r="F119" s="21">
        <v>5092</v>
      </c>
      <c r="G119" s="21">
        <v>4396</v>
      </c>
      <c r="H119" s="21">
        <v>3661</v>
      </c>
      <c r="I119" s="21">
        <v>4333</v>
      </c>
      <c r="J119" s="21">
        <v>4074</v>
      </c>
      <c r="K119" s="21">
        <v>3832</v>
      </c>
      <c r="L119" s="21">
        <v>4096</v>
      </c>
      <c r="M119" s="21">
        <v>4219</v>
      </c>
      <c r="N119" s="21">
        <v>4190</v>
      </c>
      <c r="O119" s="21">
        <v>4257</v>
      </c>
      <c r="P119" s="21">
        <v>3626</v>
      </c>
      <c r="Q119" s="21">
        <v>3110</v>
      </c>
      <c r="R119" s="21">
        <v>2244</v>
      </c>
      <c r="S119" s="21">
        <v>1578</v>
      </c>
      <c r="T119" s="21">
        <v>1024</v>
      </c>
      <c r="U119" s="22">
        <v>660</v>
      </c>
    </row>
    <row r="120" spans="1:21" x14ac:dyDescent="0.2">
      <c r="A120" s="18" t="s">
        <v>23</v>
      </c>
      <c r="B120" s="20" t="s">
        <v>17</v>
      </c>
      <c r="C120" s="21">
        <v>211922</v>
      </c>
      <c r="D120" s="21"/>
      <c r="E120" s="21">
        <v>21167</v>
      </c>
      <c r="F120" s="21">
        <v>18035</v>
      </c>
      <c r="G120" s="21">
        <v>19155</v>
      </c>
      <c r="H120" s="21">
        <v>15324</v>
      </c>
      <c r="I120" s="21">
        <v>16494</v>
      </c>
      <c r="J120" s="21">
        <v>14611</v>
      </c>
      <c r="K120" s="21">
        <v>13239</v>
      </c>
      <c r="L120" s="21">
        <v>13445</v>
      </c>
      <c r="M120" s="21">
        <v>14248</v>
      </c>
      <c r="N120" s="21">
        <v>13592</v>
      </c>
      <c r="O120" s="21">
        <v>13419</v>
      </c>
      <c r="P120" s="21">
        <v>11770</v>
      </c>
      <c r="Q120" s="21">
        <v>10104</v>
      </c>
      <c r="R120" s="21">
        <v>7453</v>
      </c>
      <c r="S120" s="21">
        <v>5144</v>
      </c>
      <c r="T120" s="21">
        <v>2866</v>
      </c>
      <c r="U120" s="22">
        <v>1856</v>
      </c>
    </row>
    <row r="121" spans="1:21" x14ac:dyDescent="0.2">
      <c r="A121" s="18" t="s">
        <v>23</v>
      </c>
      <c r="B121" s="20" t="s">
        <v>18</v>
      </c>
      <c r="C121" s="21">
        <v>24073</v>
      </c>
      <c r="D121" s="21"/>
      <c r="E121" s="21">
        <v>2047</v>
      </c>
      <c r="F121" s="21">
        <v>1859</v>
      </c>
      <c r="G121" s="21">
        <v>1639</v>
      </c>
      <c r="H121" s="21">
        <v>1316</v>
      </c>
      <c r="I121" s="21">
        <v>1484</v>
      </c>
      <c r="J121" s="21">
        <v>1331</v>
      </c>
      <c r="K121" s="21">
        <v>1426</v>
      </c>
      <c r="L121" s="21">
        <v>1608</v>
      </c>
      <c r="M121" s="21">
        <v>1784</v>
      </c>
      <c r="N121" s="21">
        <v>1827</v>
      </c>
      <c r="O121" s="21">
        <v>1918</v>
      </c>
      <c r="P121" s="21">
        <v>1724</v>
      </c>
      <c r="Q121" s="21">
        <v>1549</v>
      </c>
      <c r="R121" s="21">
        <v>1082</v>
      </c>
      <c r="S121" s="21">
        <v>779</v>
      </c>
      <c r="T121" s="21">
        <v>404</v>
      </c>
      <c r="U121" s="22">
        <v>296</v>
      </c>
    </row>
    <row r="122" spans="1:21" x14ac:dyDescent="0.2">
      <c r="A122" s="18" t="s">
        <v>23</v>
      </c>
      <c r="B122" s="20" t="s">
        <v>19</v>
      </c>
      <c r="C122" s="21">
        <v>312674</v>
      </c>
      <c r="D122" s="21"/>
      <c r="E122" s="21">
        <v>29726</v>
      </c>
      <c r="F122" s="21">
        <v>24033</v>
      </c>
      <c r="G122" s="21">
        <v>26182</v>
      </c>
      <c r="H122" s="21">
        <v>22659</v>
      </c>
      <c r="I122" s="21">
        <v>26680</v>
      </c>
      <c r="J122" s="21">
        <v>26387</v>
      </c>
      <c r="K122" s="21">
        <v>23422</v>
      </c>
      <c r="L122" s="21">
        <v>22020</v>
      </c>
      <c r="M122" s="21">
        <v>22184</v>
      </c>
      <c r="N122" s="21">
        <v>20178</v>
      </c>
      <c r="O122" s="21">
        <v>18385</v>
      </c>
      <c r="P122" s="21">
        <v>15582</v>
      </c>
      <c r="Q122" s="21">
        <v>12584</v>
      </c>
      <c r="R122" s="21">
        <v>9442</v>
      </c>
      <c r="S122" s="21">
        <v>6766</v>
      </c>
      <c r="T122" s="21">
        <v>3812</v>
      </c>
      <c r="U122" s="22">
        <v>2632</v>
      </c>
    </row>
    <row r="123" spans="1:21" x14ac:dyDescent="0.2">
      <c r="A123" s="18" t="s">
        <v>23</v>
      </c>
      <c r="B123" s="20" t="s">
        <v>20</v>
      </c>
      <c r="C123" s="21">
        <v>15229</v>
      </c>
      <c r="D123" s="21"/>
      <c r="E123" s="21">
        <v>1244</v>
      </c>
      <c r="F123" s="21">
        <v>1082</v>
      </c>
      <c r="G123" s="21">
        <v>877</v>
      </c>
      <c r="H123" s="21">
        <v>858</v>
      </c>
      <c r="I123" s="21">
        <v>1002</v>
      </c>
      <c r="J123" s="21">
        <v>858</v>
      </c>
      <c r="K123" s="21">
        <v>896</v>
      </c>
      <c r="L123" s="21">
        <v>1075</v>
      </c>
      <c r="M123" s="21">
        <v>1231</v>
      </c>
      <c r="N123" s="21">
        <v>1381</v>
      </c>
      <c r="O123" s="21">
        <v>1362</v>
      </c>
      <c r="P123" s="21">
        <v>1101</v>
      </c>
      <c r="Q123" s="21">
        <v>876</v>
      </c>
      <c r="R123" s="21">
        <v>651</v>
      </c>
      <c r="S123" s="21">
        <v>412</v>
      </c>
      <c r="T123" s="21">
        <v>195</v>
      </c>
      <c r="U123" s="22">
        <v>128</v>
      </c>
    </row>
    <row r="124" spans="1:21" x14ac:dyDescent="0.2">
      <c r="A124" s="18" t="s">
        <v>23</v>
      </c>
      <c r="B124" s="20" t="s">
        <v>21</v>
      </c>
      <c r="C124" s="21">
        <v>33366</v>
      </c>
      <c r="D124" s="21"/>
      <c r="E124" s="21">
        <v>3202</v>
      </c>
      <c r="F124" s="21">
        <v>2706</v>
      </c>
      <c r="G124" s="21">
        <v>2604</v>
      </c>
      <c r="H124" s="21">
        <v>2091</v>
      </c>
      <c r="I124" s="21">
        <v>2223</v>
      </c>
      <c r="J124" s="21">
        <v>1981</v>
      </c>
      <c r="K124" s="21">
        <v>1762</v>
      </c>
      <c r="L124" s="21">
        <v>2084</v>
      </c>
      <c r="M124" s="21">
        <v>2319</v>
      </c>
      <c r="N124" s="21">
        <v>2447</v>
      </c>
      <c r="O124" s="21">
        <v>2502</v>
      </c>
      <c r="P124" s="21">
        <v>2187</v>
      </c>
      <c r="Q124" s="21">
        <v>1915</v>
      </c>
      <c r="R124" s="21">
        <v>1370</v>
      </c>
      <c r="S124" s="21">
        <v>1048</v>
      </c>
      <c r="T124" s="21">
        <v>570</v>
      </c>
      <c r="U124" s="22">
        <v>355</v>
      </c>
    </row>
    <row r="125" spans="1:21" x14ac:dyDescent="0.2">
      <c r="A125" s="18" t="s">
        <v>23</v>
      </c>
      <c r="B125" s="18" t="s">
        <v>22</v>
      </c>
      <c r="C125" s="21">
        <v>2476234</v>
      </c>
      <c r="D125" s="21"/>
      <c r="E125" s="21">
        <v>228543</v>
      </c>
      <c r="F125" s="21">
        <v>195042</v>
      </c>
      <c r="G125" s="21">
        <v>224143</v>
      </c>
      <c r="H125" s="21">
        <v>186322</v>
      </c>
      <c r="I125" s="21">
        <v>202743</v>
      </c>
      <c r="J125" s="21">
        <v>180055</v>
      </c>
      <c r="K125" s="21">
        <v>162786</v>
      </c>
      <c r="L125" s="21">
        <v>164920</v>
      </c>
      <c r="M125" s="21">
        <v>171743</v>
      </c>
      <c r="N125" s="21">
        <v>165229</v>
      </c>
      <c r="O125" s="21">
        <v>155214</v>
      </c>
      <c r="P125" s="21">
        <v>132283</v>
      </c>
      <c r="Q125" s="21">
        <v>113093</v>
      </c>
      <c r="R125" s="21">
        <v>81268</v>
      </c>
      <c r="S125" s="21">
        <v>58282</v>
      </c>
      <c r="T125" s="21">
        <v>32815</v>
      </c>
      <c r="U125" s="22">
        <v>21753</v>
      </c>
    </row>
    <row r="126" spans="1:21" x14ac:dyDescent="0.2">
      <c r="A126" s="18" t="s">
        <v>22</v>
      </c>
      <c r="B126" s="20" t="s">
        <v>1</v>
      </c>
      <c r="C126" s="21">
        <f>SUM(C82,C104)</f>
        <v>492515</v>
      </c>
      <c r="D126" s="21"/>
      <c r="E126" s="21">
        <f t="shared" ref="E126:U126" si="23">SUM(E82,E104)</f>
        <v>39532</v>
      </c>
      <c r="F126" s="21">
        <f t="shared" si="23"/>
        <v>34857</v>
      </c>
      <c r="G126" s="21">
        <f t="shared" si="23"/>
        <v>50193</v>
      </c>
      <c r="H126" s="21">
        <f t="shared" si="23"/>
        <v>51352</v>
      </c>
      <c r="I126" s="21">
        <f t="shared" si="23"/>
        <v>51541</v>
      </c>
      <c r="J126" s="21">
        <f t="shared" si="23"/>
        <v>41994</v>
      </c>
      <c r="K126" s="21">
        <f t="shared" si="23"/>
        <v>35182</v>
      </c>
      <c r="L126" s="21">
        <f t="shared" si="23"/>
        <v>33115</v>
      </c>
      <c r="M126" s="21">
        <f t="shared" si="23"/>
        <v>32660</v>
      </c>
      <c r="N126" s="21">
        <f t="shared" si="23"/>
        <v>30365</v>
      </c>
      <c r="O126" s="21">
        <f t="shared" si="23"/>
        <v>26067</v>
      </c>
      <c r="P126" s="21">
        <f t="shared" si="23"/>
        <v>21521</v>
      </c>
      <c r="Q126" s="21">
        <f t="shared" si="23"/>
        <v>16943</v>
      </c>
      <c r="R126" s="21">
        <f t="shared" si="23"/>
        <v>11481</v>
      </c>
      <c r="S126" s="21">
        <f t="shared" si="23"/>
        <v>8172</v>
      </c>
      <c r="T126" s="21">
        <f t="shared" si="23"/>
        <v>4543</v>
      </c>
      <c r="U126" s="21">
        <f t="shared" si="23"/>
        <v>2997</v>
      </c>
    </row>
    <row r="127" spans="1:21" x14ac:dyDescent="0.2">
      <c r="A127" s="18" t="s">
        <v>22</v>
      </c>
      <c r="B127" s="20" t="s">
        <v>2</v>
      </c>
      <c r="C127" s="21">
        <f t="shared" ref="C127:C147" si="24">SUM(C83,C105)</f>
        <v>256617</v>
      </c>
      <c r="D127" s="21"/>
      <c r="E127" s="21">
        <f t="shared" ref="E127:U127" si="25">SUM(E83,E105)</f>
        <v>25299</v>
      </c>
      <c r="F127" s="21">
        <f t="shared" si="25"/>
        <v>21638</v>
      </c>
      <c r="G127" s="21">
        <f t="shared" si="25"/>
        <v>20834</v>
      </c>
      <c r="H127" s="21">
        <f t="shared" si="25"/>
        <v>17406</v>
      </c>
      <c r="I127" s="21">
        <f t="shared" si="25"/>
        <v>18772</v>
      </c>
      <c r="J127" s="21">
        <f t="shared" si="25"/>
        <v>16856</v>
      </c>
      <c r="K127" s="21">
        <f t="shared" si="25"/>
        <v>15581</v>
      </c>
      <c r="L127" s="21">
        <f t="shared" si="25"/>
        <v>16361</v>
      </c>
      <c r="M127" s="21">
        <f t="shared" si="25"/>
        <v>16840</v>
      </c>
      <c r="N127" s="21">
        <f t="shared" si="25"/>
        <v>16887</v>
      </c>
      <c r="O127" s="21">
        <f t="shared" si="25"/>
        <v>16665</v>
      </c>
      <c r="P127" s="21">
        <f t="shared" si="25"/>
        <v>15411</v>
      </c>
      <c r="Q127" s="21">
        <f t="shared" si="25"/>
        <v>14034</v>
      </c>
      <c r="R127" s="21">
        <f t="shared" si="25"/>
        <v>10477</v>
      </c>
      <c r="S127" s="21">
        <f t="shared" si="25"/>
        <v>7508</v>
      </c>
      <c r="T127" s="21">
        <f t="shared" si="25"/>
        <v>3800</v>
      </c>
      <c r="U127" s="21">
        <f t="shared" si="25"/>
        <v>2248</v>
      </c>
    </row>
    <row r="128" spans="1:21" x14ac:dyDescent="0.2">
      <c r="A128" s="18" t="s">
        <v>22</v>
      </c>
      <c r="B128" s="20" t="s">
        <v>3</v>
      </c>
      <c r="C128" s="21">
        <f t="shared" si="24"/>
        <v>561872</v>
      </c>
      <c r="D128" s="21"/>
      <c r="E128" s="21">
        <f t="shared" ref="E128:U128" si="26">SUM(E84,E106)</f>
        <v>49685</v>
      </c>
      <c r="F128" s="21">
        <f t="shared" si="26"/>
        <v>43245</v>
      </c>
      <c r="G128" s="21">
        <f t="shared" si="26"/>
        <v>53841</v>
      </c>
      <c r="H128" s="21">
        <f t="shared" si="26"/>
        <v>43192</v>
      </c>
      <c r="I128" s="21">
        <f t="shared" si="26"/>
        <v>46503</v>
      </c>
      <c r="J128" s="21">
        <f t="shared" si="26"/>
        <v>40637</v>
      </c>
      <c r="K128" s="21">
        <f t="shared" si="26"/>
        <v>36820</v>
      </c>
      <c r="L128" s="21">
        <f t="shared" si="26"/>
        <v>37779</v>
      </c>
      <c r="M128" s="21">
        <f t="shared" si="26"/>
        <v>39861</v>
      </c>
      <c r="N128" s="21">
        <f t="shared" si="26"/>
        <v>37495</v>
      </c>
      <c r="O128" s="21">
        <f t="shared" si="26"/>
        <v>35395</v>
      </c>
      <c r="P128" s="21">
        <f t="shared" si="26"/>
        <v>29790</v>
      </c>
      <c r="Q128" s="21">
        <f t="shared" si="26"/>
        <v>25814</v>
      </c>
      <c r="R128" s="21">
        <f t="shared" si="26"/>
        <v>17996</v>
      </c>
      <c r="S128" s="21">
        <f t="shared" si="26"/>
        <v>12578</v>
      </c>
      <c r="T128" s="21">
        <f t="shared" si="26"/>
        <v>6890</v>
      </c>
      <c r="U128" s="21">
        <f t="shared" si="26"/>
        <v>4351</v>
      </c>
    </row>
    <row r="129" spans="1:21" x14ac:dyDescent="0.2">
      <c r="A129" s="18" t="s">
        <v>22</v>
      </c>
      <c r="B129" s="20" t="s">
        <v>4</v>
      </c>
      <c r="C129" s="21">
        <f t="shared" si="24"/>
        <v>309727</v>
      </c>
      <c r="D129" s="21"/>
      <c r="E129" s="21">
        <f t="shared" ref="E129:U129" si="27">SUM(E85,E107)</f>
        <v>26050</v>
      </c>
      <c r="F129" s="21">
        <f t="shared" si="27"/>
        <v>23264</v>
      </c>
      <c r="G129" s="21">
        <f t="shared" si="27"/>
        <v>34047</v>
      </c>
      <c r="H129" s="21">
        <f t="shared" si="27"/>
        <v>28425</v>
      </c>
      <c r="I129" s="21">
        <f t="shared" si="27"/>
        <v>27259</v>
      </c>
      <c r="J129" s="21">
        <f t="shared" si="27"/>
        <v>23270</v>
      </c>
      <c r="K129" s="21">
        <f t="shared" si="27"/>
        <v>21599</v>
      </c>
      <c r="L129" s="21">
        <f t="shared" si="27"/>
        <v>21975</v>
      </c>
      <c r="M129" s="21">
        <f t="shared" si="27"/>
        <v>21752</v>
      </c>
      <c r="N129" s="21">
        <f t="shared" si="27"/>
        <v>20201</v>
      </c>
      <c r="O129" s="21">
        <f t="shared" si="27"/>
        <v>17175</v>
      </c>
      <c r="P129" s="21">
        <f t="shared" si="27"/>
        <v>13812</v>
      </c>
      <c r="Q129" s="21">
        <f t="shared" si="27"/>
        <v>11650</v>
      </c>
      <c r="R129" s="21">
        <f t="shared" si="27"/>
        <v>8470</v>
      </c>
      <c r="S129" s="21">
        <f t="shared" si="27"/>
        <v>5727</v>
      </c>
      <c r="T129" s="21">
        <f t="shared" si="27"/>
        <v>3167</v>
      </c>
      <c r="U129" s="21">
        <f t="shared" si="27"/>
        <v>1884</v>
      </c>
    </row>
    <row r="130" spans="1:21" x14ac:dyDescent="0.2">
      <c r="A130" s="18" t="s">
        <v>22</v>
      </c>
      <c r="B130" s="20" t="s">
        <v>5</v>
      </c>
      <c r="C130" s="21">
        <f t="shared" si="24"/>
        <v>574285</v>
      </c>
      <c r="D130" s="21"/>
      <c r="E130" s="21">
        <f t="shared" ref="E130:U130" si="28">SUM(E86,E108)</f>
        <v>64751</v>
      </c>
      <c r="F130" s="21">
        <f t="shared" si="28"/>
        <v>53227</v>
      </c>
      <c r="G130" s="21">
        <f t="shared" si="28"/>
        <v>59542</v>
      </c>
      <c r="H130" s="21">
        <f t="shared" si="28"/>
        <v>48847</v>
      </c>
      <c r="I130" s="21">
        <f t="shared" si="28"/>
        <v>51078</v>
      </c>
      <c r="J130" s="21">
        <f t="shared" si="28"/>
        <v>44720</v>
      </c>
      <c r="K130" s="21">
        <f t="shared" si="28"/>
        <v>39604</v>
      </c>
      <c r="L130" s="21">
        <f t="shared" si="28"/>
        <v>36957</v>
      </c>
      <c r="M130" s="21">
        <f t="shared" si="28"/>
        <v>37688</v>
      </c>
      <c r="N130" s="21">
        <f t="shared" si="28"/>
        <v>35166</v>
      </c>
      <c r="O130" s="21">
        <f t="shared" si="28"/>
        <v>30083</v>
      </c>
      <c r="P130" s="21">
        <f t="shared" si="28"/>
        <v>24507</v>
      </c>
      <c r="Q130" s="21">
        <f t="shared" si="28"/>
        <v>19367</v>
      </c>
      <c r="R130" s="21">
        <f t="shared" si="28"/>
        <v>13230</v>
      </c>
      <c r="S130" s="21">
        <f t="shared" si="28"/>
        <v>8768</v>
      </c>
      <c r="T130" s="21">
        <f t="shared" si="28"/>
        <v>4389</v>
      </c>
      <c r="U130" s="21">
        <f t="shared" si="28"/>
        <v>2361</v>
      </c>
    </row>
    <row r="131" spans="1:21" x14ac:dyDescent="0.2">
      <c r="A131" s="18" t="s">
        <v>22</v>
      </c>
      <c r="B131" s="20" t="s">
        <v>6</v>
      </c>
      <c r="C131" s="21">
        <f t="shared" si="24"/>
        <v>170742</v>
      </c>
      <c r="D131" s="21"/>
      <c r="E131" s="21">
        <f t="shared" ref="E131:U131" si="29">SUM(E87,E109)</f>
        <v>17244</v>
      </c>
      <c r="F131" s="21">
        <f t="shared" si="29"/>
        <v>15290</v>
      </c>
      <c r="G131" s="21">
        <f t="shared" si="29"/>
        <v>14405</v>
      </c>
      <c r="H131" s="21">
        <f t="shared" si="29"/>
        <v>11427</v>
      </c>
      <c r="I131" s="21">
        <f t="shared" si="29"/>
        <v>12078</v>
      </c>
      <c r="J131" s="21">
        <f t="shared" si="29"/>
        <v>10429</v>
      </c>
      <c r="K131" s="21">
        <f t="shared" si="29"/>
        <v>10188</v>
      </c>
      <c r="L131" s="21">
        <f t="shared" si="29"/>
        <v>11167</v>
      </c>
      <c r="M131" s="21">
        <f t="shared" si="29"/>
        <v>11679</v>
      </c>
      <c r="N131" s="21">
        <f t="shared" si="29"/>
        <v>11697</v>
      </c>
      <c r="O131" s="21">
        <f t="shared" si="29"/>
        <v>11502</v>
      </c>
      <c r="P131" s="21">
        <f t="shared" si="29"/>
        <v>10006</v>
      </c>
      <c r="Q131" s="21">
        <f t="shared" si="29"/>
        <v>9157</v>
      </c>
      <c r="R131" s="21">
        <f t="shared" si="29"/>
        <v>6479</v>
      </c>
      <c r="S131" s="21">
        <f t="shared" si="29"/>
        <v>4353</v>
      </c>
      <c r="T131" s="21">
        <f t="shared" si="29"/>
        <v>2347</v>
      </c>
      <c r="U131" s="21">
        <f t="shared" si="29"/>
        <v>1294</v>
      </c>
    </row>
    <row r="132" spans="1:21" x14ac:dyDescent="0.2">
      <c r="A132" s="18" t="s">
        <v>22</v>
      </c>
      <c r="B132" s="20" t="s">
        <v>7</v>
      </c>
      <c r="C132" s="21">
        <f t="shared" si="24"/>
        <v>149305</v>
      </c>
      <c r="D132" s="21"/>
      <c r="E132" s="21">
        <f t="shared" ref="E132:U132" si="30">SUM(E88,E110)</f>
        <v>14619</v>
      </c>
      <c r="F132" s="21">
        <f t="shared" si="30"/>
        <v>12079</v>
      </c>
      <c r="G132" s="21">
        <f t="shared" si="30"/>
        <v>12891</v>
      </c>
      <c r="H132" s="21">
        <f t="shared" si="30"/>
        <v>10950</v>
      </c>
      <c r="I132" s="21">
        <f t="shared" si="30"/>
        <v>12670</v>
      </c>
      <c r="J132" s="21">
        <f t="shared" si="30"/>
        <v>11820</v>
      </c>
      <c r="K132" s="21">
        <f t="shared" si="30"/>
        <v>10701</v>
      </c>
      <c r="L132" s="21">
        <f t="shared" si="30"/>
        <v>10404</v>
      </c>
      <c r="M132" s="21">
        <f t="shared" si="30"/>
        <v>10691</v>
      </c>
      <c r="N132" s="21">
        <f t="shared" si="30"/>
        <v>9786</v>
      </c>
      <c r="O132" s="21">
        <f t="shared" si="30"/>
        <v>9315</v>
      </c>
      <c r="P132" s="21">
        <f t="shared" si="30"/>
        <v>7306</v>
      </c>
      <c r="Q132" s="21">
        <f t="shared" si="30"/>
        <v>6032</v>
      </c>
      <c r="R132" s="21">
        <f t="shared" si="30"/>
        <v>4262</v>
      </c>
      <c r="S132" s="21">
        <f t="shared" si="30"/>
        <v>3116</v>
      </c>
      <c r="T132" s="21">
        <f t="shared" si="30"/>
        <v>1671</v>
      </c>
      <c r="U132" s="21">
        <f t="shared" si="30"/>
        <v>992</v>
      </c>
    </row>
    <row r="133" spans="1:21" x14ac:dyDescent="0.2">
      <c r="A133" s="18" t="s">
        <v>22</v>
      </c>
      <c r="B133" s="20" t="s">
        <v>8</v>
      </c>
      <c r="C133" s="21">
        <f t="shared" si="24"/>
        <v>110720</v>
      </c>
      <c r="D133" s="21"/>
      <c r="E133" s="21">
        <f t="shared" ref="E133:U133" si="31">SUM(E89,E111)</f>
        <v>11815</v>
      </c>
      <c r="F133" s="21">
        <f t="shared" si="31"/>
        <v>10198</v>
      </c>
      <c r="G133" s="21">
        <f t="shared" si="31"/>
        <v>9626</v>
      </c>
      <c r="H133" s="21">
        <f t="shared" si="31"/>
        <v>7663</v>
      </c>
      <c r="I133" s="21">
        <f t="shared" si="31"/>
        <v>8417</v>
      </c>
      <c r="J133" s="21">
        <f t="shared" si="31"/>
        <v>7290</v>
      </c>
      <c r="K133" s="21">
        <f t="shared" si="31"/>
        <v>6755</v>
      </c>
      <c r="L133" s="21">
        <f t="shared" si="31"/>
        <v>7238</v>
      </c>
      <c r="M133" s="21">
        <f t="shared" si="31"/>
        <v>7520</v>
      </c>
      <c r="N133" s="21">
        <f t="shared" si="31"/>
        <v>7477</v>
      </c>
      <c r="O133" s="21">
        <f t="shared" si="31"/>
        <v>7238</v>
      </c>
      <c r="P133" s="21">
        <f t="shared" si="31"/>
        <v>6041</v>
      </c>
      <c r="Q133" s="21">
        <f t="shared" si="31"/>
        <v>5435</v>
      </c>
      <c r="R133" s="21">
        <f t="shared" si="31"/>
        <v>3633</v>
      </c>
      <c r="S133" s="21">
        <f t="shared" si="31"/>
        <v>2469</v>
      </c>
      <c r="T133" s="21">
        <f t="shared" si="31"/>
        <v>1223</v>
      </c>
      <c r="U133" s="21">
        <f t="shared" si="31"/>
        <v>682</v>
      </c>
    </row>
    <row r="134" spans="1:21" x14ac:dyDescent="0.2">
      <c r="A134" s="18" t="s">
        <v>22</v>
      </c>
      <c r="B134" s="20" t="s">
        <v>9</v>
      </c>
      <c r="C134" s="21">
        <f t="shared" si="24"/>
        <v>177552</v>
      </c>
      <c r="D134" s="21"/>
      <c r="E134" s="21">
        <f t="shared" ref="E134:U134" si="32">SUM(E90,E112)</f>
        <v>17583</v>
      </c>
      <c r="F134" s="21">
        <f t="shared" si="32"/>
        <v>15188</v>
      </c>
      <c r="G134" s="21">
        <f t="shared" si="32"/>
        <v>17139</v>
      </c>
      <c r="H134" s="21">
        <f t="shared" si="32"/>
        <v>12706</v>
      </c>
      <c r="I134" s="21">
        <f t="shared" si="32"/>
        <v>12715</v>
      </c>
      <c r="J134" s="21">
        <f t="shared" si="32"/>
        <v>11176</v>
      </c>
      <c r="K134" s="21">
        <f t="shared" si="32"/>
        <v>10362</v>
      </c>
      <c r="L134" s="21">
        <f t="shared" si="32"/>
        <v>10762</v>
      </c>
      <c r="M134" s="21">
        <f t="shared" si="32"/>
        <v>11661</v>
      </c>
      <c r="N134" s="21">
        <f t="shared" si="32"/>
        <v>11953</v>
      </c>
      <c r="O134" s="21">
        <f t="shared" si="32"/>
        <v>11772</v>
      </c>
      <c r="P134" s="21">
        <f t="shared" si="32"/>
        <v>10041</v>
      </c>
      <c r="Q134" s="21">
        <f t="shared" si="32"/>
        <v>9246</v>
      </c>
      <c r="R134" s="21">
        <f t="shared" si="32"/>
        <v>6712</v>
      </c>
      <c r="S134" s="21">
        <f t="shared" si="32"/>
        <v>4670</v>
      </c>
      <c r="T134" s="21">
        <f t="shared" si="32"/>
        <v>2477</v>
      </c>
      <c r="U134" s="21">
        <f t="shared" si="32"/>
        <v>1389</v>
      </c>
    </row>
    <row r="135" spans="1:21" x14ac:dyDescent="0.2">
      <c r="A135" s="18" t="s">
        <v>22</v>
      </c>
      <c r="B135" s="20" t="s">
        <v>10</v>
      </c>
      <c r="C135" s="21">
        <f t="shared" si="24"/>
        <v>156934</v>
      </c>
      <c r="D135" s="21"/>
      <c r="E135" s="21">
        <f t="shared" ref="E135:U135" si="33">SUM(E91,E113)</f>
        <v>13357</v>
      </c>
      <c r="F135" s="21">
        <f t="shared" si="33"/>
        <v>12115</v>
      </c>
      <c r="G135" s="21">
        <f t="shared" si="33"/>
        <v>11203</v>
      </c>
      <c r="H135" s="21">
        <f t="shared" si="33"/>
        <v>9159</v>
      </c>
      <c r="I135" s="21">
        <f t="shared" si="33"/>
        <v>10102</v>
      </c>
      <c r="J135" s="21">
        <f t="shared" si="33"/>
        <v>9864</v>
      </c>
      <c r="K135" s="21">
        <f t="shared" si="33"/>
        <v>9428</v>
      </c>
      <c r="L135" s="21">
        <f t="shared" si="33"/>
        <v>10745</v>
      </c>
      <c r="M135" s="21">
        <f t="shared" si="33"/>
        <v>11577</v>
      </c>
      <c r="N135" s="21">
        <f t="shared" si="33"/>
        <v>11933</v>
      </c>
      <c r="O135" s="21">
        <f t="shared" si="33"/>
        <v>11828</v>
      </c>
      <c r="P135" s="21">
        <f t="shared" si="33"/>
        <v>10588</v>
      </c>
      <c r="Q135" s="21">
        <f t="shared" si="33"/>
        <v>9978</v>
      </c>
      <c r="R135" s="21">
        <f t="shared" si="33"/>
        <v>6939</v>
      </c>
      <c r="S135" s="21">
        <f t="shared" si="33"/>
        <v>4497</v>
      </c>
      <c r="T135" s="21">
        <f t="shared" si="33"/>
        <v>2332</v>
      </c>
      <c r="U135" s="21">
        <f t="shared" si="33"/>
        <v>1289</v>
      </c>
    </row>
    <row r="136" spans="1:21" x14ac:dyDescent="0.2">
      <c r="A136" s="18" t="s">
        <v>22</v>
      </c>
      <c r="B136" s="20" t="s">
        <v>11</v>
      </c>
      <c r="C136" s="21">
        <f t="shared" si="24"/>
        <v>189263</v>
      </c>
      <c r="D136" s="21"/>
      <c r="E136" s="21">
        <f t="shared" ref="E136:U136" si="34">SUM(E92,E114)</f>
        <v>19552</v>
      </c>
      <c r="F136" s="21">
        <f t="shared" si="34"/>
        <v>16364</v>
      </c>
      <c r="G136" s="21">
        <f t="shared" si="34"/>
        <v>14328</v>
      </c>
      <c r="H136" s="21">
        <f t="shared" si="34"/>
        <v>10992</v>
      </c>
      <c r="I136" s="21">
        <f t="shared" si="34"/>
        <v>12385</v>
      </c>
      <c r="J136" s="21">
        <f t="shared" si="34"/>
        <v>11074</v>
      </c>
      <c r="K136" s="21">
        <f t="shared" si="34"/>
        <v>10115</v>
      </c>
      <c r="L136" s="21">
        <f t="shared" si="34"/>
        <v>11413</v>
      </c>
      <c r="M136" s="21">
        <f t="shared" si="34"/>
        <v>13210</v>
      </c>
      <c r="N136" s="21">
        <f t="shared" si="34"/>
        <v>14148</v>
      </c>
      <c r="O136" s="21">
        <f t="shared" si="34"/>
        <v>14308</v>
      </c>
      <c r="P136" s="21">
        <f t="shared" si="34"/>
        <v>13115</v>
      </c>
      <c r="Q136" s="21">
        <f t="shared" si="34"/>
        <v>11558</v>
      </c>
      <c r="R136" s="21">
        <f t="shared" si="34"/>
        <v>7876</v>
      </c>
      <c r="S136" s="21">
        <f t="shared" si="34"/>
        <v>4988</v>
      </c>
      <c r="T136" s="21">
        <f t="shared" si="34"/>
        <v>2482</v>
      </c>
      <c r="U136" s="21">
        <f t="shared" si="34"/>
        <v>1355</v>
      </c>
    </row>
    <row r="137" spans="1:21" x14ac:dyDescent="0.2">
      <c r="A137" s="18" t="s">
        <v>22</v>
      </c>
      <c r="B137" s="20" t="s">
        <v>12</v>
      </c>
      <c r="C137" s="21">
        <f t="shared" si="24"/>
        <v>24346</v>
      </c>
      <c r="D137" s="21"/>
      <c r="E137" s="21">
        <f t="shared" ref="E137:U137" si="35">SUM(E93,E115)</f>
        <v>230</v>
      </c>
      <c r="F137" s="21">
        <f t="shared" si="35"/>
        <v>1127</v>
      </c>
      <c r="G137" s="21">
        <f t="shared" si="35"/>
        <v>2770</v>
      </c>
      <c r="H137" s="21">
        <f t="shared" si="35"/>
        <v>3764</v>
      </c>
      <c r="I137" s="21">
        <f t="shared" si="35"/>
        <v>3958</v>
      </c>
      <c r="J137" s="21">
        <f t="shared" si="35"/>
        <v>2784</v>
      </c>
      <c r="K137" s="21">
        <f t="shared" si="35"/>
        <v>2167</v>
      </c>
      <c r="L137" s="21">
        <f t="shared" si="35"/>
        <v>1671</v>
      </c>
      <c r="M137" s="21">
        <f t="shared" si="35"/>
        <v>1884</v>
      </c>
      <c r="N137" s="21">
        <f t="shared" si="35"/>
        <v>1661</v>
      </c>
      <c r="O137" s="21">
        <f t="shared" si="35"/>
        <v>1266</v>
      </c>
      <c r="P137" s="21">
        <f t="shared" si="35"/>
        <v>453</v>
      </c>
      <c r="Q137" s="21">
        <f t="shared" si="35"/>
        <v>346</v>
      </c>
      <c r="R137" s="21">
        <f t="shared" si="35"/>
        <v>144</v>
      </c>
      <c r="S137" s="21">
        <f t="shared" si="35"/>
        <v>76</v>
      </c>
      <c r="T137" s="21">
        <f t="shared" si="35"/>
        <v>26</v>
      </c>
      <c r="U137" s="21">
        <f t="shared" si="35"/>
        <v>19</v>
      </c>
    </row>
    <row r="138" spans="1:21" x14ac:dyDescent="0.2">
      <c r="A138" s="18" t="s">
        <v>22</v>
      </c>
      <c r="B138" s="20" t="s">
        <v>13</v>
      </c>
      <c r="C138" s="21">
        <f t="shared" si="24"/>
        <v>59404</v>
      </c>
      <c r="D138" s="21"/>
      <c r="E138" s="21">
        <f t="shared" ref="E138:U138" si="36">SUM(E94,E116)</f>
        <v>5221</v>
      </c>
      <c r="F138" s="21">
        <f t="shared" si="36"/>
        <v>4518</v>
      </c>
      <c r="G138" s="21">
        <f t="shared" si="36"/>
        <v>4422</v>
      </c>
      <c r="H138" s="21">
        <f t="shared" si="36"/>
        <v>3869</v>
      </c>
      <c r="I138" s="21">
        <f t="shared" si="36"/>
        <v>3999</v>
      </c>
      <c r="J138" s="21">
        <f t="shared" si="36"/>
        <v>3510</v>
      </c>
      <c r="K138" s="21">
        <f t="shared" si="36"/>
        <v>3415</v>
      </c>
      <c r="L138" s="21">
        <f t="shared" si="36"/>
        <v>3814</v>
      </c>
      <c r="M138" s="21">
        <f t="shared" si="36"/>
        <v>4156</v>
      </c>
      <c r="N138" s="21">
        <f t="shared" si="36"/>
        <v>4420</v>
      </c>
      <c r="O138" s="21">
        <f t="shared" si="36"/>
        <v>4406</v>
      </c>
      <c r="P138" s="21">
        <f t="shared" si="36"/>
        <v>3945</v>
      </c>
      <c r="Q138" s="21">
        <f t="shared" si="36"/>
        <v>3680</v>
      </c>
      <c r="R138" s="21">
        <f t="shared" si="36"/>
        <v>2575</v>
      </c>
      <c r="S138" s="21">
        <f t="shared" si="36"/>
        <v>1900</v>
      </c>
      <c r="T138" s="21">
        <f t="shared" si="36"/>
        <v>1012</v>
      </c>
      <c r="U138" s="21">
        <f t="shared" si="36"/>
        <v>542</v>
      </c>
    </row>
    <row r="139" spans="1:21" x14ac:dyDescent="0.2">
      <c r="A139" s="18" t="s">
        <v>22</v>
      </c>
      <c r="B139" s="20" t="s">
        <v>14</v>
      </c>
      <c r="C139" s="21">
        <f t="shared" si="24"/>
        <v>331773</v>
      </c>
      <c r="D139" s="21"/>
      <c r="E139" s="21">
        <f t="shared" ref="E139:U139" si="37">SUM(E95,E117)</f>
        <v>28325</v>
      </c>
      <c r="F139" s="21">
        <f t="shared" si="37"/>
        <v>24678</v>
      </c>
      <c r="G139" s="21">
        <f t="shared" si="37"/>
        <v>35963</v>
      </c>
      <c r="H139" s="21">
        <f t="shared" si="37"/>
        <v>25193</v>
      </c>
      <c r="I139" s="21">
        <f t="shared" si="37"/>
        <v>26344</v>
      </c>
      <c r="J139" s="21">
        <f t="shared" si="37"/>
        <v>23171</v>
      </c>
      <c r="K139" s="21">
        <f t="shared" si="37"/>
        <v>20804</v>
      </c>
      <c r="L139" s="21">
        <f t="shared" si="37"/>
        <v>21361</v>
      </c>
      <c r="M139" s="21">
        <f t="shared" si="37"/>
        <v>21979</v>
      </c>
      <c r="N139" s="21">
        <f t="shared" si="37"/>
        <v>22257</v>
      </c>
      <c r="O139" s="21">
        <f t="shared" si="37"/>
        <v>21889</v>
      </c>
      <c r="P139" s="21">
        <f t="shared" si="37"/>
        <v>18498</v>
      </c>
      <c r="Q139" s="21">
        <f t="shared" si="37"/>
        <v>15968</v>
      </c>
      <c r="R139" s="21">
        <f t="shared" si="37"/>
        <v>10930</v>
      </c>
      <c r="S139" s="21">
        <f t="shared" si="37"/>
        <v>7750</v>
      </c>
      <c r="T139" s="21">
        <f t="shared" si="37"/>
        <v>4190</v>
      </c>
      <c r="U139" s="21">
        <f t="shared" si="37"/>
        <v>2473</v>
      </c>
    </row>
    <row r="140" spans="1:21" x14ac:dyDescent="0.2">
      <c r="A140" s="18" t="s">
        <v>22</v>
      </c>
      <c r="B140" s="20" t="s">
        <v>15</v>
      </c>
      <c r="C140" s="21">
        <f t="shared" si="24"/>
        <v>49345</v>
      </c>
      <c r="D140" s="21"/>
      <c r="E140" s="21">
        <f t="shared" ref="E140:U140" si="38">SUM(E96,E118)</f>
        <v>5536</v>
      </c>
      <c r="F140" s="21">
        <f t="shared" si="38"/>
        <v>4896</v>
      </c>
      <c r="G140" s="21">
        <f t="shared" si="38"/>
        <v>4535</v>
      </c>
      <c r="H140" s="21">
        <f t="shared" si="38"/>
        <v>3577</v>
      </c>
      <c r="I140" s="21">
        <f t="shared" si="38"/>
        <v>3634</v>
      </c>
      <c r="J140" s="21">
        <f t="shared" si="38"/>
        <v>3086</v>
      </c>
      <c r="K140" s="21">
        <f t="shared" si="38"/>
        <v>3015</v>
      </c>
      <c r="L140" s="21">
        <f t="shared" si="38"/>
        <v>3119</v>
      </c>
      <c r="M140" s="21">
        <f t="shared" si="38"/>
        <v>3219</v>
      </c>
      <c r="N140" s="21">
        <f t="shared" si="38"/>
        <v>3179</v>
      </c>
      <c r="O140" s="21">
        <f t="shared" si="38"/>
        <v>3225</v>
      </c>
      <c r="P140" s="21">
        <f t="shared" si="38"/>
        <v>2808</v>
      </c>
      <c r="Q140" s="21">
        <f t="shared" si="38"/>
        <v>2264</v>
      </c>
      <c r="R140" s="21">
        <f t="shared" si="38"/>
        <v>1427</v>
      </c>
      <c r="S140" s="21">
        <f t="shared" si="38"/>
        <v>1000</v>
      </c>
      <c r="T140" s="21">
        <f t="shared" si="38"/>
        <v>496</v>
      </c>
      <c r="U140" s="21">
        <f t="shared" si="38"/>
        <v>329</v>
      </c>
    </row>
    <row r="141" spans="1:21" x14ac:dyDescent="0.2">
      <c r="A141" s="18" t="s">
        <v>22</v>
      </c>
      <c r="B141" s="20" t="s">
        <v>16</v>
      </c>
      <c r="C141" s="21">
        <f t="shared" si="24"/>
        <v>119605</v>
      </c>
      <c r="D141" s="21"/>
      <c r="E141" s="21">
        <f t="shared" ref="E141:U141" si="39">SUM(E97,E119)</f>
        <v>12619</v>
      </c>
      <c r="F141" s="21">
        <f t="shared" si="39"/>
        <v>10529</v>
      </c>
      <c r="G141" s="21">
        <f t="shared" si="39"/>
        <v>9408</v>
      </c>
      <c r="H141" s="21">
        <f t="shared" si="39"/>
        <v>7333</v>
      </c>
      <c r="I141" s="21">
        <f t="shared" si="39"/>
        <v>8344</v>
      </c>
      <c r="J141" s="21">
        <f t="shared" si="39"/>
        <v>7931</v>
      </c>
      <c r="K141" s="21">
        <f t="shared" si="39"/>
        <v>7564</v>
      </c>
      <c r="L141" s="21">
        <f t="shared" si="39"/>
        <v>7966</v>
      </c>
      <c r="M141" s="21">
        <f t="shared" si="39"/>
        <v>8219</v>
      </c>
      <c r="N141" s="21">
        <f t="shared" si="39"/>
        <v>8165</v>
      </c>
      <c r="O141" s="21">
        <f t="shared" si="39"/>
        <v>8261</v>
      </c>
      <c r="P141" s="21">
        <f t="shared" si="39"/>
        <v>7191</v>
      </c>
      <c r="Q141" s="21">
        <f t="shared" si="39"/>
        <v>6122</v>
      </c>
      <c r="R141" s="21">
        <f t="shared" si="39"/>
        <v>4322</v>
      </c>
      <c r="S141" s="21">
        <f t="shared" si="39"/>
        <v>2874</v>
      </c>
      <c r="T141" s="21">
        <f t="shared" si="39"/>
        <v>1721</v>
      </c>
      <c r="U141" s="21">
        <f t="shared" si="39"/>
        <v>1036</v>
      </c>
    </row>
    <row r="142" spans="1:21" x14ac:dyDescent="0.2">
      <c r="A142" s="18" t="s">
        <v>22</v>
      </c>
      <c r="B142" s="20" t="s">
        <v>17</v>
      </c>
      <c r="C142" s="21">
        <f t="shared" si="24"/>
        <v>419910</v>
      </c>
      <c r="D142" s="21"/>
      <c r="E142" s="21">
        <f t="shared" ref="E142:U142" si="40">SUM(E98,E120)</f>
        <v>43685</v>
      </c>
      <c r="F142" s="21">
        <f t="shared" si="40"/>
        <v>36654</v>
      </c>
      <c r="G142" s="21">
        <f t="shared" si="40"/>
        <v>39206</v>
      </c>
      <c r="H142" s="21">
        <f t="shared" si="40"/>
        <v>31673</v>
      </c>
      <c r="I142" s="21">
        <f t="shared" si="40"/>
        <v>32483</v>
      </c>
      <c r="J142" s="21">
        <f t="shared" si="40"/>
        <v>28855</v>
      </c>
      <c r="K142" s="21">
        <f t="shared" si="40"/>
        <v>26312</v>
      </c>
      <c r="L142" s="21">
        <f t="shared" si="40"/>
        <v>26517</v>
      </c>
      <c r="M142" s="21">
        <f t="shared" si="40"/>
        <v>27779</v>
      </c>
      <c r="N142" s="21">
        <f t="shared" si="40"/>
        <v>26459</v>
      </c>
      <c r="O142" s="21">
        <f t="shared" si="40"/>
        <v>25983</v>
      </c>
      <c r="P142" s="21">
        <f t="shared" si="40"/>
        <v>22794</v>
      </c>
      <c r="Q142" s="21">
        <f t="shared" si="40"/>
        <v>19873</v>
      </c>
      <c r="R142" s="21">
        <f t="shared" si="40"/>
        <v>14192</v>
      </c>
      <c r="S142" s="21">
        <f t="shared" si="40"/>
        <v>9542</v>
      </c>
      <c r="T142" s="21">
        <f t="shared" si="40"/>
        <v>5023</v>
      </c>
      <c r="U142" s="21">
        <f t="shared" si="40"/>
        <v>2880</v>
      </c>
    </row>
    <row r="143" spans="1:21" x14ac:dyDescent="0.2">
      <c r="A143" s="18" t="s">
        <v>22</v>
      </c>
      <c r="B143" s="20" t="s">
        <v>18</v>
      </c>
      <c r="C143" s="21">
        <f t="shared" si="24"/>
        <v>47314</v>
      </c>
      <c r="D143" s="21"/>
      <c r="E143" s="21">
        <f t="shared" ref="E143:U143" si="41">SUM(E99,E121)</f>
        <v>4214</v>
      </c>
      <c r="F143" s="21">
        <f t="shared" si="41"/>
        <v>3852</v>
      </c>
      <c r="G143" s="21">
        <f t="shared" si="41"/>
        <v>3424</v>
      </c>
      <c r="H143" s="21">
        <f t="shared" si="41"/>
        <v>2667</v>
      </c>
      <c r="I143" s="21">
        <f t="shared" si="41"/>
        <v>2935</v>
      </c>
      <c r="J143" s="21">
        <f t="shared" si="41"/>
        <v>2662</v>
      </c>
      <c r="K143" s="21">
        <f t="shared" si="41"/>
        <v>2728</v>
      </c>
      <c r="L143" s="21">
        <f t="shared" si="41"/>
        <v>3044</v>
      </c>
      <c r="M143" s="21">
        <f t="shared" si="41"/>
        <v>3416</v>
      </c>
      <c r="N143" s="21">
        <f t="shared" si="41"/>
        <v>3524</v>
      </c>
      <c r="O143" s="21">
        <f t="shared" si="41"/>
        <v>3712</v>
      </c>
      <c r="P143" s="21">
        <f t="shared" si="41"/>
        <v>3346</v>
      </c>
      <c r="Q143" s="21">
        <f t="shared" si="41"/>
        <v>3078</v>
      </c>
      <c r="R143" s="21">
        <f t="shared" si="41"/>
        <v>2154</v>
      </c>
      <c r="S143" s="21">
        <f t="shared" si="41"/>
        <v>1410</v>
      </c>
      <c r="T143" s="21">
        <f t="shared" si="41"/>
        <v>723</v>
      </c>
      <c r="U143" s="21">
        <f t="shared" si="41"/>
        <v>425</v>
      </c>
    </row>
    <row r="144" spans="1:21" x14ac:dyDescent="0.2">
      <c r="A144" s="18" t="s">
        <v>22</v>
      </c>
      <c r="B144" s="20" t="s">
        <v>19</v>
      </c>
      <c r="C144" s="21">
        <f t="shared" si="24"/>
        <v>615971</v>
      </c>
      <c r="D144" s="21"/>
      <c r="E144" s="21">
        <f t="shared" ref="E144:U144" si="42">SUM(E100,E122)</f>
        <v>61277</v>
      </c>
      <c r="F144" s="21">
        <f t="shared" si="42"/>
        <v>49616</v>
      </c>
      <c r="G144" s="21">
        <f t="shared" si="42"/>
        <v>53837</v>
      </c>
      <c r="H144" s="21">
        <f t="shared" si="42"/>
        <v>45073</v>
      </c>
      <c r="I144" s="21">
        <f t="shared" si="42"/>
        <v>51958</v>
      </c>
      <c r="J144" s="21">
        <f t="shared" si="42"/>
        <v>51346</v>
      </c>
      <c r="K144" s="21">
        <f t="shared" si="42"/>
        <v>46010</v>
      </c>
      <c r="L144" s="21">
        <f t="shared" si="42"/>
        <v>43325</v>
      </c>
      <c r="M144" s="21">
        <f t="shared" si="42"/>
        <v>43639</v>
      </c>
      <c r="N144" s="21">
        <f t="shared" si="42"/>
        <v>39845</v>
      </c>
      <c r="O144" s="21">
        <f t="shared" si="42"/>
        <v>35460</v>
      </c>
      <c r="P144" s="21">
        <f t="shared" si="42"/>
        <v>29624</v>
      </c>
      <c r="Q144" s="21">
        <f t="shared" si="42"/>
        <v>24267</v>
      </c>
      <c r="R144" s="21">
        <f t="shared" si="42"/>
        <v>17887</v>
      </c>
      <c r="S144" s="21">
        <f t="shared" si="42"/>
        <v>12207</v>
      </c>
      <c r="T144" s="21">
        <f t="shared" si="42"/>
        <v>6626</v>
      </c>
      <c r="U144" s="21">
        <f t="shared" si="42"/>
        <v>3974</v>
      </c>
    </row>
    <row r="145" spans="1:21" x14ac:dyDescent="0.2">
      <c r="A145" s="18" t="s">
        <v>22</v>
      </c>
      <c r="B145" s="20" t="s">
        <v>20</v>
      </c>
      <c r="C145" s="21">
        <f t="shared" si="24"/>
        <v>31332</v>
      </c>
      <c r="D145" s="21"/>
      <c r="E145" s="21">
        <f t="shared" ref="E145:U145" si="43">SUM(E101,E123)</f>
        <v>2585</v>
      </c>
      <c r="F145" s="21">
        <f t="shared" si="43"/>
        <v>2360</v>
      </c>
      <c r="G145" s="21">
        <f t="shared" si="43"/>
        <v>1913</v>
      </c>
      <c r="H145" s="21">
        <f t="shared" si="43"/>
        <v>1721</v>
      </c>
      <c r="I145" s="21">
        <f t="shared" si="43"/>
        <v>1975</v>
      </c>
      <c r="J145" s="21">
        <f t="shared" si="43"/>
        <v>1770</v>
      </c>
      <c r="K145" s="21">
        <f t="shared" si="43"/>
        <v>1765</v>
      </c>
      <c r="L145" s="21">
        <f t="shared" si="43"/>
        <v>2052</v>
      </c>
      <c r="M145" s="21">
        <f t="shared" si="43"/>
        <v>2425</v>
      </c>
      <c r="N145" s="21">
        <f t="shared" si="43"/>
        <v>2810</v>
      </c>
      <c r="O145" s="21">
        <f t="shared" si="43"/>
        <v>2859</v>
      </c>
      <c r="P145" s="21">
        <f t="shared" si="43"/>
        <v>2457</v>
      </c>
      <c r="Q145" s="21">
        <f t="shared" si="43"/>
        <v>1950</v>
      </c>
      <c r="R145" s="21">
        <f t="shared" si="43"/>
        <v>1304</v>
      </c>
      <c r="S145" s="21">
        <f t="shared" si="43"/>
        <v>803</v>
      </c>
      <c r="T145" s="21">
        <f t="shared" si="43"/>
        <v>372</v>
      </c>
      <c r="U145" s="21">
        <f t="shared" si="43"/>
        <v>211</v>
      </c>
    </row>
    <row r="146" spans="1:21" x14ac:dyDescent="0.2">
      <c r="A146" s="18" t="s">
        <v>22</v>
      </c>
      <c r="B146" s="20" t="s">
        <v>21</v>
      </c>
      <c r="C146" s="21">
        <f t="shared" si="24"/>
        <v>65642</v>
      </c>
      <c r="D146" s="21"/>
      <c r="E146" s="21">
        <f t="shared" ref="E146:U146" si="44">SUM(E102,E124)</f>
        <v>6568</v>
      </c>
      <c r="F146" s="21">
        <f t="shared" si="44"/>
        <v>5523</v>
      </c>
      <c r="G146" s="21">
        <f t="shared" si="44"/>
        <v>5493</v>
      </c>
      <c r="H146" s="21">
        <f t="shared" si="44"/>
        <v>4239</v>
      </c>
      <c r="I146" s="21">
        <f t="shared" si="44"/>
        <v>4403</v>
      </c>
      <c r="J146" s="21">
        <f t="shared" si="44"/>
        <v>3844</v>
      </c>
      <c r="K146" s="21">
        <f t="shared" si="44"/>
        <v>3508</v>
      </c>
      <c r="L146" s="21">
        <f t="shared" si="44"/>
        <v>3980</v>
      </c>
      <c r="M146" s="21">
        <f t="shared" si="44"/>
        <v>4449</v>
      </c>
      <c r="N146" s="21">
        <f t="shared" si="44"/>
        <v>4749</v>
      </c>
      <c r="O146" s="21">
        <f t="shared" si="44"/>
        <v>4819</v>
      </c>
      <c r="P146" s="21">
        <f t="shared" si="44"/>
        <v>4297</v>
      </c>
      <c r="Q146" s="21">
        <f t="shared" si="44"/>
        <v>3767</v>
      </c>
      <c r="R146" s="21">
        <f t="shared" si="44"/>
        <v>2639</v>
      </c>
      <c r="S146" s="21">
        <f t="shared" si="44"/>
        <v>1853</v>
      </c>
      <c r="T146" s="21">
        <f t="shared" si="44"/>
        <v>960</v>
      </c>
      <c r="U146" s="21">
        <f t="shared" si="44"/>
        <v>551</v>
      </c>
    </row>
    <row r="147" spans="1:21" x14ac:dyDescent="0.2">
      <c r="A147" s="18" t="s">
        <v>22</v>
      </c>
      <c r="B147" s="18" t="s">
        <v>22</v>
      </c>
      <c r="C147" s="21">
        <f t="shared" si="24"/>
        <v>4914174</v>
      </c>
      <c r="D147" s="21"/>
      <c r="E147" s="21">
        <f t="shared" ref="E147:U147" si="45">SUM(E103,E125)</f>
        <v>469747</v>
      </c>
      <c r="F147" s="21">
        <f t="shared" si="45"/>
        <v>401218</v>
      </c>
      <c r="G147" s="21">
        <f t="shared" si="45"/>
        <v>459020</v>
      </c>
      <c r="H147" s="21">
        <f t="shared" si="45"/>
        <v>381228</v>
      </c>
      <c r="I147" s="21">
        <f t="shared" si="45"/>
        <v>403553</v>
      </c>
      <c r="J147" s="21">
        <f t="shared" si="45"/>
        <v>358089</v>
      </c>
      <c r="K147" s="21">
        <f t="shared" si="45"/>
        <v>323623</v>
      </c>
      <c r="L147" s="21">
        <f t="shared" si="45"/>
        <v>324765</v>
      </c>
      <c r="M147" s="21">
        <f t="shared" si="45"/>
        <v>336304</v>
      </c>
      <c r="N147" s="21">
        <f t="shared" si="45"/>
        <v>324177</v>
      </c>
      <c r="O147" s="21">
        <f t="shared" si="45"/>
        <v>303228</v>
      </c>
      <c r="P147" s="21">
        <f t="shared" si="45"/>
        <v>257551</v>
      </c>
      <c r="Q147" s="21">
        <f t="shared" si="45"/>
        <v>220529</v>
      </c>
      <c r="R147" s="21">
        <f t="shared" si="45"/>
        <v>155129</v>
      </c>
      <c r="S147" s="21">
        <f t="shared" si="45"/>
        <v>106261</v>
      </c>
      <c r="T147" s="21">
        <f t="shared" si="45"/>
        <v>56470</v>
      </c>
      <c r="U147" s="21">
        <f t="shared" si="45"/>
        <v>33282</v>
      </c>
    </row>
  </sheetData>
  <mergeCells count="2">
    <mergeCell ref="C3:U3"/>
    <mergeCell ref="C80:U80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6AE2-63C3-EB44-8BF6-40FF9A0E0779}">
  <dimension ref="A1:T67"/>
  <sheetViews>
    <sheetView zoomScale="112" zoomScaleNormal="150" workbookViewId="0">
      <selection activeCell="F56" sqref="F56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476050</v>
      </c>
      <c r="D2" s="38">
        <v>58461.940508172178</v>
      </c>
      <c r="E2" s="38">
        <v>35053.112810942723</v>
      </c>
      <c r="F2" s="38">
        <v>32594.946680885099</v>
      </c>
      <c r="G2" s="5">
        <v>54080</v>
      </c>
      <c r="H2" s="5">
        <v>50950</v>
      </c>
      <c r="I2" s="5">
        <v>38760</v>
      </c>
      <c r="J2" s="5">
        <v>31530</v>
      </c>
      <c r="K2" s="5">
        <v>30780</v>
      </c>
      <c r="L2" s="5">
        <v>29760</v>
      </c>
      <c r="M2" s="5">
        <v>28640</v>
      </c>
      <c r="N2" s="5">
        <v>24250</v>
      </c>
      <c r="O2" s="5">
        <v>19940</v>
      </c>
      <c r="P2" s="5">
        <v>15720</v>
      </c>
      <c r="Q2" s="5">
        <v>10550</v>
      </c>
      <c r="R2" s="5">
        <v>7710</v>
      </c>
      <c r="S2" s="5">
        <v>4260</v>
      </c>
      <c r="T2" s="37">
        <v>3010</v>
      </c>
    </row>
    <row r="3" spans="1:20" x14ac:dyDescent="0.2">
      <c r="A3" s="9" t="s">
        <v>1</v>
      </c>
      <c r="B3" s="6" t="s">
        <v>0</v>
      </c>
      <c r="C3" s="5">
        <v>236210</v>
      </c>
      <c r="D3" s="38">
        <v>29645.301305858393</v>
      </c>
      <c r="E3" s="38">
        <v>17818.867856714987</v>
      </c>
      <c r="F3" s="38">
        <v>16525.83083742662</v>
      </c>
      <c r="G3" s="5">
        <v>27610</v>
      </c>
      <c r="H3" s="5">
        <v>25940</v>
      </c>
      <c r="I3" s="5">
        <v>19300</v>
      </c>
      <c r="J3" s="5">
        <v>15930</v>
      </c>
      <c r="K3" s="5">
        <v>15200</v>
      </c>
      <c r="L3" s="5">
        <v>14430</v>
      </c>
      <c r="M3" s="5">
        <v>13910</v>
      </c>
      <c r="N3" s="5">
        <v>11900</v>
      </c>
      <c r="O3" s="5">
        <v>9480</v>
      </c>
      <c r="P3" s="5">
        <v>7560</v>
      </c>
      <c r="Q3" s="5">
        <v>4870</v>
      </c>
      <c r="R3" s="5">
        <v>3360</v>
      </c>
      <c r="S3" s="5">
        <v>1750</v>
      </c>
      <c r="T3" s="37">
        <v>980</v>
      </c>
    </row>
    <row r="4" spans="1:20" x14ac:dyDescent="0.2">
      <c r="A4" s="9" t="s">
        <v>1</v>
      </c>
      <c r="B4" s="6" t="s">
        <v>23</v>
      </c>
      <c r="C4" s="5">
        <v>239840</v>
      </c>
      <c r="D4" s="38">
        <v>28816.315844944245</v>
      </c>
      <c r="E4" s="38">
        <v>17234.532155730274</v>
      </c>
      <c r="F4" s="38">
        <v>16069.151999325479</v>
      </c>
      <c r="G4" s="5">
        <v>26470</v>
      </c>
      <c r="H4" s="5">
        <v>25010</v>
      </c>
      <c r="I4" s="5">
        <v>19460</v>
      </c>
      <c r="J4" s="5">
        <v>15600</v>
      </c>
      <c r="K4" s="5">
        <v>15580</v>
      </c>
      <c r="L4" s="5">
        <v>15330</v>
      </c>
      <c r="M4" s="5">
        <v>14730</v>
      </c>
      <c r="N4" s="5">
        <v>12350</v>
      </c>
      <c r="O4" s="5">
        <v>10460</v>
      </c>
      <c r="P4" s="5">
        <v>8160</v>
      </c>
      <c r="Q4" s="5">
        <v>5680</v>
      </c>
      <c r="R4" s="5">
        <v>4350</v>
      </c>
      <c r="S4" s="5">
        <v>2510</v>
      </c>
      <c r="T4" s="37">
        <v>2030</v>
      </c>
    </row>
    <row r="5" spans="1:20" ht="15" x14ac:dyDescent="0.2">
      <c r="A5" s="8" t="s">
        <v>2</v>
      </c>
      <c r="B5" s="6" t="s">
        <v>22</v>
      </c>
      <c r="C5" s="5">
        <v>252680</v>
      </c>
      <c r="D5" s="38">
        <v>29970.378668252568</v>
      </c>
      <c r="E5" s="38">
        <v>17969.897258167053</v>
      </c>
      <c r="F5" s="38">
        <v>16709.724073580379</v>
      </c>
      <c r="G5" s="5">
        <v>15490</v>
      </c>
      <c r="H5" s="5">
        <v>16760</v>
      </c>
      <c r="I5" s="5">
        <v>16240</v>
      </c>
      <c r="J5" s="5">
        <v>15370</v>
      </c>
      <c r="K5" s="5">
        <v>17010</v>
      </c>
      <c r="L5" s="5">
        <v>17530</v>
      </c>
      <c r="M5" s="5">
        <v>17640</v>
      </c>
      <c r="N5" s="5">
        <v>17090</v>
      </c>
      <c r="O5" s="5">
        <v>15840</v>
      </c>
      <c r="P5" s="5">
        <v>14730</v>
      </c>
      <c r="Q5" s="5">
        <v>10540</v>
      </c>
      <c r="R5" s="5">
        <v>7450</v>
      </c>
      <c r="S5" s="5">
        <v>3930</v>
      </c>
      <c r="T5" s="37">
        <v>2410</v>
      </c>
    </row>
    <row r="6" spans="1:20" ht="15" x14ac:dyDescent="0.2">
      <c r="A6" s="8" t="s">
        <v>2</v>
      </c>
      <c r="B6" s="6" t="s">
        <v>0</v>
      </c>
      <c r="C6" s="5">
        <v>123800</v>
      </c>
      <c r="D6" s="38">
        <v>15566.215406732957</v>
      </c>
      <c r="E6" s="38">
        <v>9356.367557206182</v>
      </c>
      <c r="F6" s="38">
        <v>8677.4170360608605</v>
      </c>
      <c r="G6" s="5">
        <v>8130</v>
      </c>
      <c r="H6" s="5">
        <v>8080</v>
      </c>
      <c r="I6" s="5">
        <v>7920</v>
      </c>
      <c r="J6" s="5">
        <v>7410</v>
      </c>
      <c r="K6" s="5">
        <v>8170</v>
      </c>
      <c r="L6" s="5">
        <v>8480</v>
      </c>
      <c r="M6" s="5">
        <v>8430</v>
      </c>
      <c r="N6" s="5">
        <v>8030</v>
      </c>
      <c r="O6" s="5">
        <v>7480</v>
      </c>
      <c r="P6" s="5">
        <v>7120</v>
      </c>
      <c r="Q6" s="5">
        <v>4950</v>
      </c>
      <c r="R6" s="5">
        <v>3440</v>
      </c>
      <c r="S6" s="5">
        <v>1660</v>
      </c>
      <c r="T6" s="37">
        <v>900</v>
      </c>
    </row>
    <row r="7" spans="1:20" ht="15" x14ac:dyDescent="0.2">
      <c r="A7" s="8" t="s">
        <v>2</v>
      </c>
      <c r="B7" s="6" t="s">
        <v>23</v>
      </c>
      <c r="C7" s="5">
        <v>128880</v>
      </c>
      <c r="D7" s="38">
        <v>14403.519107944605</v>
      </c>
      <c r="E7" s="38">
        <v>8614.4916844080017</v>
      </c>
      <c r="F7" s="38">
        <v>8031.9892076473943</v>
      </c>
      <c r="G7" s="5">
        <v>7360</v>
      </c>
      <c r="H7" s="5">
        <v>8680</v>
      </c>
      <c r="I7" s="5">
        <v>8320</v>
      </c>
      <c r="J7" s="5">
        <v>7960</v>
      </c>
      <c r="K7" s="5">
        <v>8840</v>
      </c>
      <c r="L7" s="5">
        <v>9050</v>
      </c>
      <c r="M7" s="5">
        <v>9210</v>
      </c>
      <c r="N7" s="5">
        <v>9060</v>
      </c>
      <c r="O7" s="5">
        <v>8360</v>
      </c>
      <c r="P7" s="5">
        <v>7610</v>
      </c>
      <c r="Q7" s="5">
        <v>5590</v>
      </c>
      <c r="R7" s="5">
        <v>4010</v>
      </c>
      <c r="S7" s="5">
        <v>2270</v>
      </c>
      <c r="T7" s="37">
        <v>1510</v>
      </c>
    </row>
    <row r="8" spans="1:20" x14ac:dyDescent="0.2">
      <c r="A8" s="9" t="s">
        <v>3</v>
      </c>
      <c r="B8" s="6" t="s">
        <v>22</v>
      </c>
      <c r="C8" s="5">
        <v>553210</v>
      </c>
      <c r="D8" s="39">
        <v>67599.081475709041</v>
      </c>
      <c r="E8" s="39">
        <v>40531.63833234214</v>
      </c>
      <c r="F8" s="39">
        <v>37689.280191948812</v>
      </c>
      <c r="G8" s="14">
        <v>41750</v>
      </c>
      <c r="H8" s="14">
        <v>45010</v>
      </c>
      <c r="I8" s="14">
        <v>39550</v>
      </c>
      <c r="J8" s="14">
        <v>37310</v>
      </c>
      <c r="K8" s="14">
        <v>38450</v>
      </c>
      <c r="L8" s="14">
        <v>39670</v>
      </c>
      <c r="M8" s="14">
        <v>37360</v>
      </c>
      <c r="N8" s="14">
        <v>34630</v>
      </c>
      <c r="O8" s="14">
        <v>28840</v>
      </c>
      <c r="P8" s="14">
        <v>24840</v>
      </c>
      <c r="Q8" s="14">
        <v>16810</v>
      </c>
      <c r="R8" s="14">
        <v>12000</v>
      </c>
      <c r="S8" s="14">
        <v>6860</v>
      </c>
      <c r="T8" s="37">
        <v>4310</v>
      </c>
    </row>
    <row r="9" spans="1:20" x14ac:dyDescent="0.2">
      <c r="A9" s="9" t="s">
        <v>3</v>
      </c>
      <c r="B9" s="6" t="s">
        <v>0</v>
      </c>
      <c r="C9" s="5">
        <v>277890</v>
      </c>
      <c r="D9" s="39">
        <v>35269.523181981553</v>
      </c>
      <c r="E9" s="39">
        <v>21199.412563396032</v>
      </c>
      <c r="F9" s="39">
        <v>19661.064254622419</v>
      </c>
      <c r="G9" s="14">
        <v>22380</v>
      </c>
      <c r="H9" s="14">
        <v>23060</v>
      </c>
      <c r="I9" s="14">
        <v>20190</v>
      </c>
      <c r="J9" s="14">
        <v>18630</v>
      </c>
      <c r="K9" s="14">
        <v>18990</v>
      </c>
      <c r="L9" s="14">
        <v>19840</v>
      </c>
      <c r="M9" s="14">
        <v>18330</v>
      </c>
      <c r="N9" s="14">
        <v>17010</v>
      </c>
      <c r="O9" s="14">
        <v>14080</v>
      </c>
      <c r="P9" s="14">
        <v>11880</v>
      </c>
      <c r="Q9" s="14">
        <v>7870</v>
      </c>
      <c r="R9" s="14">
        <v>5260</v>
      </c>
      <c r="S9" s="14">
        <v>2790</v>
      </c>
      <c r="T9" s="37">
        <v>1450</v>
      </c>
    </row>
    <row r="10" spans="1:20" x14ac:dyDescent="0.2">
      <c r="A10" s="9" t="s">
        <v>3</v>
      </c>
      <c r="B10" s="6" t="s">
        <v>23</v>
      </c>
      <c r="C10" s="5">
        <v>275320</v>
      </c>
      <c r="D10" s="39">
        <v>32327.898442275669</v>
      </c>
      <c r="E10" s="39">
        <v>19334.748002782402</v>
      </c>
      <c r="F10" s="39">
        <v>18027.353554941928</v>
      </c>
      <c r="G10" s="14">
        <v>19370</v>
      </c>
      <c r="H10" s="14">
        <v>21950</v>
      </c>
      <c r="I10" s="14">
        <v>19360</v>
      </c>
      <c r="J10" s="14">
        <v>18680</v>
      </c>
      <c r="K10" s="14">
        <v>19460</v>
      </c>
      <c r="L10" s="14">
        <v>19830</v>
      </c>
      <c r="M10" s="14">
        <v>19030</v>
      </c>
      <c r="N10" s="14">
        <v>17620</v>
      </c>
      <c r="O10" s="14">
        <v>14760</v>
      </c>
      <c r="P10" s="14">
        <v>12960</v>
      </c>
      <c r="Q10" s="14">
        <v>8940</v>
      </c>
      <c r="R10" s="14">
        <v>6740</v>
      </c>
      <c r="S10" s="14">
        <v>4070</v>
      </c>
      <c r="T10" s="37">
        <v>2860</v>
      </c>
    </row>
    <row r="11" spans="1:20" x14ac:dyDescent="0.2">
      <c r="A11" s="9" t="s">
        <v>4</v>
      </c>
      <c r="B11" s="6" t="s">
        <v>22</v>
      </c>
      <c r="C11" s="5">
        <v>310200</v>
      </c>
      <c r="D11" s="40">
        <v>40424.083834054509</v>
      </c>
      <c r="E11" s="40">
        <v>24237.819658347515</v>
      </c>
      <c r="F11" s="40">
        <v>22538.096507597973</v>
      </c>
      <c r="G11" s="15">
        <v>27680</v>
      </c>
      <c r="H11" s="15">
        <v>25330</v>
      </c>
      <c r="I11" s="15">
        <v>22530</v>
      </c>
      <c r="J11" s="15">
        <v>21370</v>
      </c>
      <c r="K11" s="15">
        <v>22110</v>
      </c>
      <c r="L11" s="15">
        <v>21590</v>
      </c>
      <c r="M11" s="15">
        <v>20300</v>
      </c>
      <c r="N11" s="15">
        <v>16970</v>
      </c>
      <c r="O11" s="15">
        <v>14150</v>
      </c>
      <c r="P11" s="15">
        <v>11780</v>
      </c>
      <c r="Q11" s="15">
        <v>8350</v>
      </c>
      <c r="R11" s="15">
        <v>5650</v>
      </c>
      <c r="S11" s="15">
        <v>3290</v>
      </c>
      <c r="T11" s="37">
        <v>1900</v>
      </c>
    </row>
    <row r="12" spans="1:20" x14ac:dyDescent="0.2">
      <c r="A12" s="9" t="s">
        <v>4</v>
      </c>
      <c r="B12" s="6" t="s">
        <v>0</v>
      </c>
      <c r="C12" s="5">
        <v>150820</v>
      </c>
      <c r="D12" s="40">
        <v>19999.807116329219</v>
      </c>
      <c r="E12" s="40">
        <v>12021.261531089014</v>
      </c>
      <c r="F12" s="40">
        <v>11148.931352581765</v>
      </c>
      <c r="G12" s="15">
        <v>13860</v>
      </c>
      <c r="H12" s="15">
        <v>12460</v>
      </c>
      <c r="I12" s="15">
        <v>11060</v>
      </c>
      <c r="J12" s="15">
        <v>10580</v>
      </c>
      <c r="K12" s="15">
        <v>10760</v>
      </c>
      <c r="L12" s="15">
        <v>10400</v>
      </c>
      <c r="M12" s="15">
        <v>9890</v>
      </c>
      <c r="N12" s="15">
        <v>8140</v>
      </c>
      <c r="O12" s="15">
        <v>6710</v>
      </c>
      <c r="P12" s="15">
        <v>5630</v>
      </c>
      <c r="Q12" s="15">
        <v>3840</v>
      </c>
      <c r="R12" s="15">
        <v>2410</v>
      </c>
      <c r="S12" s="15">
        <v>1300</v>
      </c>
      <c r="T12" s="37">
        <v>610</v>
      </c>
    </row>
    <row r="13" spans="1:20" x14ac:dyDescent="0.2">
      <c r="A13" s="9" t="s">
        <v>4</v>
      </c>
      <c r="B13" s="6" t="s">
        <v>23</v>
      </c>
      <c r="C13" s="5">
        <v>159380</v>
      </c>
      <c r="D13" s="40">
        <v>20424.700364663477</v>
      </c>
      <c r="E13" s="40">
        <v>12215.65439177083</v>
      </c>
      <c r="F13" s="40">
        <v>11389.645243565694</v>
      </c>
      <c r="G13" s="15">
        <v>13820</v>
      </c>
      <c r="H13" s="15">
        <v>12870</v>
      </c>
      <c r="I13" s="15">
        <v>11470</v>
      </c>
      <c r="J13" s="15">
        <v>10790</v>
      </c>
      <c r="K13" s="15">
        <v>11350</v>
      </c>
      <c r="L13" s="15">
        <v>11190</v>
      </c>
      <c r="M13" s="15">
        <v>10410</v>
      </c>
      <c r="N13" s="15">
        <v>8830</v>
      </c>
      <c r="O13" s="15">
        <v>7440</v>
      </c>
      <c r="P13" s="15">
        <v>6150</v>
      </c>
      <c r="Q13" s="15">
        <v>4510</v>
      </c>
      <c r="R13" s="15">
        <v>3240</v>
      </c>
      <c r="S13" s="15">
        <v>1990</v>
      </c>
      <c r="T13" s="37">
        <v>1290</v>
      </c>
    </row>
    <row r="14" spans="1:20" x14ac:dyDescent="0.2">
      <c r="A14" s="9" t="s">
        <v>5</v>
      </c>
      <c r="B14" s="6" t="s">
        <v>22</v>
      </c>
      <c r="C14" s="5">
        <v>559050</v>
      </c>
      <c r="D14" s="38">
        <v>80060.08346492218</v>
      </c>
      <c r="E14" s="38">
        <v>48003.113016016236</v>
      </c>
      <c r="F14" s="38">
        <v>44636.803519061585</v>
      </c>
      <c r="G14" s="5">
        <v>47780</v>
      </c>
      <c r="H14" s="5">
        <v>47310</v>
      </c>
      <c r="I14" s="5">
        <v>42580</v>
      </c>
      <c r="J14" s="5">
        <v>37650</v>
      </c>
      <c r="K14" s="5">
        <v>37210</v>
      </c>
      <c r="L14" s="5">
        <v>37790</v>
      </c>
      <c r="M14" s="5">
        <v>35530</v>
      </c>
      <c r="N14" s="5">
        <v>29790</v>
      </c>
      <c r="O14" s="5">
        <v>23900</v>
      </c>
      <c r="P14" s="5">
        <v>18800</v>
      </c>
      <c r="Q14" s="5">
        <v>12810</v>
      </c>
      <c r="R14" s="5">
        <v>8530</v>
      </c>
      <c r="S14" s="5">
        <v>4240</v>
      </c>
      <c r="T14" s="37">
        <v>2430</v>
      </c>
    </row>
    <row r="15" spans="1:20" x14ac:dyDescent="0.2">
      <c r="A15" s="9" t="s">
        <v>5</v>
      </c>
      <c r="B15" s="6" t="s">
        <v>0</v>
      </c>
      <c r="C15" s="5">
        <v>278900</v>
      </c>
      <c r="D15" s="38">
        <v>41477.478135857193</v>
      </c>
      <c r="E15" s="38">
        <v>24930.821053472308</v>
      </c>
      <c r="F15" s="38">
        <v>23121.7008106705</v>
      </c>
      <c r="G15" s="5">
        <v>24490</v>
      </c>
      <c r="H15" s="5">
        <v>23370</v>
      </c>
      <c r="I15" s="5">
        <v>20800</v>
      </c>
      <c r="J15" s="5">
        <v>18660</v>
      </c>
      <c r="K15" s="5">
        <v>18280</v>
      </c>
      <c r="L15" s="5">
        <v>18540</v>
      </c>
      <c r="M15" s="5">
        <v>17580</v>
      </c>
      <c r="N15" s="5">
        <v>14530</v>
      </c>
      <c r="O15" s="5">
        <v>11560</v>
      </c>
      <c r="P15" s="5">
        <v>9150</v>
      </c>
      <c r="Q15" s="5">
        <v>6010</v>
      </c>
      <c r="R15" s="5">
        <v>3850</v>
      </c>
      <c r="S15" s="5">
        <v>1690</v>
      </c>
      <c r="T15" s="37">
        <v>860</v>
      </c>
    </row>
    <row r="16" spans="1:20" x14ac:dyDescent="0.2">
      <c r="A16" s="9" t="s">
        <v>5</v>
      </c>
      <c r="B16" s="6" t="s">
        <v>23</v>
      </c>
      <c r="C16" s="5">
        <v>280150</v>
      </c>
      <c r="D16" s="38">
        <v>38581.020425370458</v>
      </c>
      <c r="E16" s="38">
        <v>23074.630383002044</v>
      </c>
      <c r="F16" s="38">
        <v>21514.349191627498</v>
      </c>
      <c r="G16" s="5">
        <v>23290</v>
      </c>
      <c r="H16" s="5">
        <v>23940</v>
      </c>
      <c r="I16" s="5">
        <v>21780</v>
      </c>
      <c r="J16" s="5">
        <v>18990</v>
      </c>
      <c r="K16" s="5">
        <v>18930</v>
      </c>
      <c r="L16" s="5">
        <v>19250</v>
      </c>
      <c r="M16" s="5">
        <v>17950</v>
      </c>
      <c r="N16" s="5">
        <v>15260</v>
      </c>
      <c r="O16" s="5">
        <v>12340</v>
      </c>
      <c r="P16" s="5">
        <v>9650</v>
      </c>
      <c r="Q16" s="5">
        <v>6800</v>
      </c>
      <c r="R16" s="5">
        <v>4680</v>
      </c>
      <c r="S16" s="5">
        <v>2550</v>
      </c>
      <c r="T16" s="37">
        <v>1570</v>
      </c>
    </row>
    <row r="17" spans="1:20" x14ac:dyDescent="0.2">
      <c r="A17" s="12" t="s">
        <v>6</v>
      </c>
      <c r="B17" s="6" t="s">
        <v>22</v>
      </c>
      <c r="C17" s="5">
        <v>170200</v>
      </c>
      <c r="D17" s="38">
        <v>21301.452433197301</v>
      </c>
      <c r="E17" s="38">
        <v>12772.107950700325</v>
      </c>
      <c r="F17" s="38">
        <v>11876.439616102372</v>
      </c>
      <c r="G17" s="5">
        <v>10650</v>
      </c>
      <c r="H17" s="5">
        <v>11030</v>
      </c>
      <c r="I17" s="5">
        <v>9940</v>
      </c>
      <c r="J17" s="5">
        <v>10250</v>
      </c>
      <c r="K17" s="5">
        <v>11690</v>
      </c>
      <c r="L17" s="5">
        <v>12100</v>
      </c>
      <c r="M17" s="5">
        <v>12250</v>
      </c>
      <c r="N17" s="5">
        <v>11650</v>
      </c>
      <c r="O17" s="5">
        <v>10400</v>
      </c>
      <c r="P17" s="5">
        <v>9570</v>
      </c>
      <c r="Q17" s="5">
        <v>6530</v>
      </c>
      <c r="R17" s="5">
        <v>4410</v>
      </c>
      <c r="S17" s="5">
        <v>2430</v>
      </c>
      <c r="T17" s="37">
        <v>1350</v>
      </c>
    </row>
    <row r="18" spans="1:20" x14ac:dyDescent="0.2">
      <c r="A18" s="9" t="s">
        <v>6</v>
      </c>
      <c r="B18" s="6" t="s">
        <v>0</v>
      </c>
      <c r="C18" s="5">
        <v>83240</v>
      </c>
      <c r="D18" s="38">
        <v>10794.429136216604</v>
      </c>
      <c r="E18" s="38">
        <v>6488.1953596102394</v>
      </c>
      <c r="F18" s="38">
        <v>6017.3755041731556</v>
      </c>
      <c r="G18" s="5">
        <v>5530</v>
      </c>
      <c r="H18" s="5">
        <v>5450</v>
      </c>
      <c r="I18" s="5">
        <v>4940</v>
      </c>
      <c r="J18" s="5">
        <v>4940</v>
      </c>
      <c r="K18" s="5">
        <v>5650</v>
      </c>
      <c r="L18" s="5">
        <v>5840</v>
      </c>
      <c r="M18" s="5">
        <v>5870</v>
      </c>
      <c r="N18" s="5">
        <v>5610</v>
      </c>
      <c r="O18" s="5">
        <v>4950</v>
      </c>
      <c r="P18" s="5">
        <v>4560</v>
      </c>
      <c r="Q18" s="5">
        <v>3140</v>
      </c>
      <c r="R18" s="5">
        <v>1980</v>
      </c>
      <c r="S18" s="5">
        <v>1000</v>
      </c>
      <c r="T18" s="37">
        <v>480</v>
      </c>
    </row>
    <row r="19" spans="1:20" x14ac:dyDescent="0.2">
      <c r="A19" s="9" t="s">
        <v>6</v>
      </c>
      <c r="B19" s="6" t="s">
        <v>23</v>
      </c>
      <c r="C19" s="5">
        <v>86960</v>
      </c>
      <c r="D19" s="38">
        <v>10506.914904829157</v>
      </c>
      <c r="E19" s="38">
        <v>6284.0011804135656</v>
      </c>
      <c r="F19" s="38">
        <v>5859.0839147572779</v>
      </c>
      <c r="G19" s="5">
        <v>5120</v>
      </c>
      <c r="H19" s="5">
        <v>5580</v>
      </c>
      <c r="I19" s="5">
        <v>5000</v>
      </c>
      <c r="J19" s="5">
        <v>5310</v>
      </c>
      <c r="K19" s="5">
        <v>6040</v>
      </c>
      <c r="L19" s="5">
        <v>6260</v>
      </c>
      <c r="M19" s="5">
        <v>6380</v>
      </c>
      <c r="N19" s="5">
        <v>6040</v>
      </c>
      <c r="O19" s="5">
        <v>5450</v>
      </c>
      <c r="P19" s="5">
        <v>5010</v>
      </c>
      <c r="Q19" s="5">
        <v>3390</v>
      </c>
      <c r="R19" s="5">
        <v>2430</v>
      </c>
      <c r="S19" s="5">
        <v>1430</v>
      </c>
      <c r="T19" s="37">
        <v>870</v>
      </c>
    </row>
    <row r="20" spans="1:20" x14ac:dyDescent="0.2">
      <c r="A20" s="9" t="s">
        <v>7</v>
      </c>
      <c r="B20" s="6" t="s">
        <v>22</v>
      </c>
      <c r="C20" s="5">
        <v>149810</v>
      </c>
      <c r="D20" s="38">
        <v>18260.374566782193</v>
      </c>
      <c r="E20" s="38">
        <v>10948.712343375098</v>
      </c>
      <c r="F20" s="38">
        <v>10180.913089842708</v>
      </c>
      <c r="G20" s="5">
        <v>10830</v>
      </c>
      <c r="H20" s="5">
        <v>12440</v>
      </c>
      <c r="I20" s="5">
        <v>11600</v>
      </c>
      <c r="J20" s="5">
        <v>10600</v>
      </c>
      <c r="K20" s="5">
        <v>10700</v>
      </c>
      <c r="L20" s="5">
        <v>10850</v>
      </c>
      <c r="M20" s="5">
        <v>10160</v>
      </c>
      <c r="N20" s="5">
        <v>9590</v>
      </c>
      <c r="O20" s="5">
        <v>7350</v>
      </c>
      <c r="P20" s="5">
        <v>6300</v>
      </c>
      <c r="Q20" s="5">
        <v>4270</v>
      </c>
      <c r="R20" s="5">
        <v>3020</v>
      </c>
      <c r="S20" s="5">
        <v>1710</v>
      </c>
      <c r="T20" s="37">
        <v>1000</v>
      </c>
    </row>
    <row r="21" spans="1:20" x14ac:dyDescent="0.2">
      <c r="A21" s="9" t="s">
        <v>7</v>
      </c>
      <c r="B21" s="6" t="s">
        <v>0</v>
      </c>
      <c r="C21" s="5">
        <v>74490</v>
      </c>
      <c r="D21" s="38">
        <v>9446.2836947406249</v>
      </c>
      <c r="E21" s="38">
        <v>5677.8670979593471</v>
      </c>
      <c r="F21" s="38">
        <v>5265.849207300028</v>
      </c>
      <c r="G21" s="5">
        <v>5520</v>
      </c>
      <c r="H21" s="5">
        <v>6200</v>
      </c>
      <c r="I21" s="5">
        <v>5830</v>
      </c>
      <c r="J21" s="5">
        <v>5280</v>
      </c>
      <c r="K21" s="5">
        <v>5310</v>
      </c>
      <c r="L21" s="5">
        <v>5420</v>
      </c>
      <c r="M21" s="5">
        <v>4940</v>
      </c>
      <c r="N21" s="5">
        <v>4680</v>
      </c>
      <c r="O21" s="5">
        <v>3630</v>
      </c>
      <c r="P21" s="5">
        <v>3050</v>
      </c>
      <c r="Q21" s="5">
        <v>1950</v>
      </c>
      <c r="R21" s="5">
        <v>1280</v>
      </c>
      <c r="S21" s="5">
        <v>690</v>
      </c>
      <c r="T21" s="37">
        <v>320</v>
      </c>
    </row>
    <row r="22" spans="1:20" x14ac:dyDescent="0.2">
      <c r="A22" s="9" t="s">
        <v>7</v>
      </c>
      <c r="B22" s="6" t="s">
        <v>23</v>
      </c>
      <c r="C22" s="5">
        <v>75320</v>
      </c>
      <c r="D22" s="38">
        <v>8813.7476022849442</v>
      </c>
      <c r="E22" s="38">
        <v>5271.347568558841</v>
      </c>
      <c r="F22" s="38">
        <v>4914.9048291562158</v>
      </c>
      <c r="G22" s="5">
        <v>5310</v>
      </c>
      <c r="H22" s="5">
        <v>6240</v>
      </c>
      <c r="I22" s="5">
        <v>5770</v>
      </c>
      <c r="J22" s="5">
        <v>5320</v>
      </c>
      <c r="K22" s="5">
        <v>5390</v>
      </c>
      <c r="L22" s="5">
        <v>5430</v>
      </c>
      <c r="M22" s="5">
        <v>5220</v>
      </c>
      <c r="N22" s="5">
        <v>4910</v>
      </c>
      <c r="O22" s="5">
        <v>3720</v>
      </c>
      <c r="P22" s="5">
        <v>3250</v>
      </c>
      <c r="Q22" s="5">
        <v>2320</v>
      </c>
      <c r="R22" s="5">
        <v>1740</v>
      </c>
      <c r="S22" s="5">
        <v>1020</v>
      </c>
      <c r="T22" s="37">
        <v>680</v>
      </c>
    </row>
    <row r="23" spans="1:20" x14ac:dyDescent="0.2">
      <c r="A23" s="9" t="s">
        <v>8</v>
      </c>
      <c r="B23" s="6" t="s">
        <v>22</v>
      </c>
      <c r="C23" s="5">
        <v>110610</v>
      </c>
      <c r="D23" s="38">
        <v>14255.052498820827</v>
      </c>
      <c r="E23" s="38">
        <v>8547.1669093369965</v>
      </c>
      <c r="F23" s="38">
        <v>7947.7805918421755</v>
      </c>
      <c r="G23" s="5">
        <v>7470</v>
      </c>
      <c r="H23" s="5">
        <v>8020</v>
      </c>
      <c r="I23" s="5">
        <v>7150</v>
      </c>
      <c r="J23" s="5">
        <v>6950</v>
      </c>
      <c r="K23" s="5">
        <v>7540</v>
      </c>
      <c r="L23" s="5">
        <v>7780</v>
      </c>
      <c r="M23" s="5">
        <v>7750</v>
      </c>
      <c r="N23" s="5">
        <v>7320</v>
      </c>
      <c r="O23" s="5">
        <v>6210</v>
      </c>
      <c r="P23" s="5">
        <v>5640</v>
      </c>
      <c r="Q23" s="5">
        <v>3700</v>
      </c>
      <c r="R23" s="5">
        <v>2410</v>
      </c>
      <c r="S23" s="5">
        <v>1260</v>
      </c>
      <c r="T23" s="37">
        <v>660</v>
      </c>
    </row>
    <row r="24" spans="1:20" x14ac:dyDescent="0.2">
      <c r="A24" s="9" t="s">
        <v>8</v>
      </c>
      <c r="B24" s="6" t="s">
        <v>0</v>
      </c>
      <c r="C24" s="5">
        <v>54670</v>
      </c>
      <c r="D24" s="38">
        <v>7454.1787468551574</v>
      </c>
      <c r="E24" s="38">
        <v>4480.4748212930799</v>
      </c>
      <c r="F24" s="38">
        <v>4155.3464318517626</v>
      </c>
      <c r="G24" s="5">
        <v>3830</v>
      </c>
      <c r="H24" s="5">
        <v>3880</v>
      </c>
      <c r="I24" s="5">
        <v>3510</v>
      </c>
      <c r="J24" s="5">
        <v>3320</v>
      </c>
      <c r="K24" s="5">
        <v>3720</v>
      </c>
      <c r="L24" s="5">
        <v>3770</v>
      </c>
      <c r="M24" s="5">
        <v>3740</v>
      </c>
      <c r="N24" s="5">
        <v>3520</v>
      </c>
      <c r="O24" s="5">
        <v>2950</v>
      </c>
      <c r="P24" s="5">
        <v>2720</v>
      </c>
      <c r="Q24" s="5">
        <v>1780</v>
      </c>
      <c r="R24" s="5">
        <v>1100</v>
      </c>
      <c r="S24" s="5">
        <v>530</v>
      </c>
      <c r="T24" s="37">
        <v>210</v>
      </c>
    </row>
    <row r="25" spans="1:20" x14ac:dyDescent="0.2">
      <c r="A25" s="9" t="s">
        <v>8</v>
      </c>
      <c r="B25" s="6" t="s">
        <v>23</v>
      </c>
      <c r="C25" s="5">
        <v>55940</v>
      </c>
      <c r="D25" s="38">
        <v>6800.5020973419614</v>
      </c>
      <c r="E25" s="38">
        <v>4067.2608081617163</v>
      </c>
      <c r="F25" s="38">
        <v>3792.2370944963222</v>
      </c>
      <c r="G25" s="5">
        <v>3640</v>
      </c>
      <c r="H25" s="5">
        <v>4140</v>
      </c>
      <c r="I25" s="5">
        <v>3640</v>
      </c>
      <c r="J25" s="5">
        <v>3630</v>
      </c>
      <c r="K25" s="5">
        <v>3820</v>
      </c>
      <c r="L25" s="5">
        <v>4010</v>
      </c>
      <c r="M25" s="5">
        <v>4010</v>
      </c>
      <c r="N25" s="5">
        <v>3800</v>
      </c>
      <c r="O25" s="5">
        <v>3260</v>
      </c>
      <c r="P25" s="5">
        <v>2920</v>
      </c>
      <c r="Q25" s="5">
        <v>1920</v>
      </c>
      <c r="R25" s="5">
        <v>1310</v>
      </c>
      <c r="S25" s="5">
        <v>730</v>
      </c>
      <c r="T25" s="37">
        <v>450</v>
      </c>
    </row>
    <row r="26" spans="1:20" x14ac:dyDescent="0.2">
      <c r="A26" s="9" t="s">
        <v>9</v>
      </c>
      <c r="B26" s="6" t="s">
        <v>22</v>
      </c>
      <c r="C26" s="5">
        <v>177400</v>
      </c>
      <c r="D26" s="38">
        <v>23137.225047679593</v>
      </c>
      <c r="E26" s="38">
        <v>13872.816274634455</v>
      </c>
      <c r="F26" s="38">
        <v>12899.958677685951</v>
      </c>
      <c r="G26" s="5">
        <v>12020</v>
      </c>
      <c r="H26" s="5">
        <v>11990</v>
      </c>
      <c r="I26" s="5">
        <v>10850</v>
      </c>
      <c r="J26" s="5">
        <v>10350</v>
      </c>
      <c r="K26" s="5">
        <v>11240</v>
      </c>
      <c r="L26" s="5">
        <v>11930</v>
      </c>
      <c r="M26" s="5">
        <v>12340</v>
      </c>
      <c r="N26" s="5">
        <v>11820</v>
      </c>
      <c r="O26" s="5">
        <v>10310</v>
      </c>
      <c r="P26" s="5">
        <v>9510</v>
      </c>
      <c r="Q26" s="5">
        <v>6660</v>
      </c>
      <c r="R26" s="5">
        <v>4610</v>
      </c>
      <c r="S26" s="5">
        <v>2470</v>
      </c>
      <c r="T26" s="37">
        <v>1390</v>
      </c>
    </row>
    <row r="27" spans="1:20" x14ac:dyDescent="0.2">
      <c r="A27" s="9" t="s">
        <v>9</v>
      </c>
      <c r="B27" s="6" t="s">
        <v>0</v>
      </c>
      <c r="C27" s="5">
        <v>87140</v>
      </c>
      <c r="D27" s="38">
        <v>11827.544027794416</v>
      </c>
      <c r="E27" s="38">
        <v>7109.1685635557687</v>
      </c>
      <c r="F27" s="38">
        <v>6593.2874086498141</v>
      </c>
      <c r="G27" s="5">
        <v>6310</v>
      </c>
      <c r="H27" s="5">
        <v>5840</v>
      </c>
      <c r="I27" s="5">
        <v>5360</v>
      </c>
      <c r="J27" s="5">
        <v>5030</v>
      </c>
      <c r="K27" s="5">
        <v>5470</v>
      </c>
      <c r="L27" s="5">
        <v>5710</v>
      </c>
      <c r="M27" s="5">
        <v>5910</v>
      </c>
      <c r="N27" s="5">
        <v>5750</v>
      </c>
      <c r="O27" s="5">
        <v>4920</v>
      </c>
      <c r="P27" s="5">
        <v>4530</v>
      </c>
      <c r="Q27" s="5">
        <v>3150</v>
      </c>
      <c r="R27" s="5">
        <v>2160</v>
      </c>
      <c r="S27" s="5">
        <v>960</v>
      </c>
      <c r="T27" s="37">
        <v>510</v>
      </c>
    </row>
    <row r="28" spans="1:20" x14ac:dyDescent="0.2">
      <c r="A28" s="9" t="s">
        <v>9</v>
      </c>
      <c r="B28" s="6" t="s">
        <v>23</v>
      </c>
      <c r="C28" s="5">
        <v>90260</v>
      </c>
      <c r="D28" s="38">
        <v>11309.429818089839</v>
      </c>
      <c r="E28" s="38">
        <v>6763.9712484981337</v>
      </c>
      <c r="F28" s="38">
        <v>6306.5989334120286</v>
      </c>
      <c r="G28" s="5">
        <v>5710</v>
      </c>
      <c r="H28" s="5">
        <v>6150</v>
      </c>
      <c r="I28" s="5">
        <v>5490</v>
      </c>
      <c r="J28" s="5">
        <v>5320</v>
      </c>
      <c r="K28" s="5">
        <v>5770</v>
      </c>
      <c r="L28" s="5">
        <v>6220</v>
      </c>
      <c r="M28" s="5">
        <v>6430</v>
      </c>
      <c r="N28" s="5">
        <v>6070</v>
      </c>
      <c r="O28" s="5">
        <v>5390</v>
      </c>
      <c r="P28" s="5">
        <v>4980</v>
      </c>
      <c r="Q28" s="5">
        <v>3510</v>
      </c>
      <c r="R28" s="5">
        <v>2450</v>
      </c>
      <c r="S28" s="5">
        <v>1510</v>
      </c>
      <c r="T28" s="37">
        <v>880</v>
      </c>
    </row>
    <row r="29" spans="1:20" x14ac:dyDescent="0.2">
      <c r="A29" s="9" t="s">
        <v>10</v>
      </c>
      <c r="B29" s="6" t="s">
        <v>22</v>
      </c>
      <c r="C29" s="5">
        <v>155830</v>
      </c>
      <c r="D29" s="38">
        <v>16563.675635215226</v>
      </c>
      <c r="E29" s="38">
        <v>9931.3910136784034</v>
      </c>
      <c r="F29" s="38">
        <v>9234.9333511063724</v>
      </c>
      <c r="G29" s="5">
        <v>8630</v>
      </c>
      <c r="H29" s="5">
        <v>9160</v>
      </c>
      <c r="I29" s="5">
        <v>9100</v>
      </c>
      <c r="J29" s="5">
        <v>9280</v>
      </c>
      <c r="K29" s="5">
        <v>11170</v>
      </c>
      <c r="L29" s="5">
        <v>12000</v>
      </c>
      <c r="M29" s="5">
        <v>12230</v>
      </c>
      <c r="N29" s="5">
        <v>11920</v>
      </c>
      <c r="O29" s="5">
        <v>10870</v>
      </c>
      <c r="P29" s="5">
        <v>10240</v>
      </c>
      <c r="Q29" s="5">
        <v>6950</v>
      </c>
      <c r="R29" s="5">
        <v>4560</v>
      </c>
      <c r="S29" s="5">
        <v>2520</v>
      </c>
      <c r="T29" s="37">
        <v>1470</v>
      </c>
    </row>
    <row r="30" spans="1:20" x14ac:dyDescent="0.2">
      <c r="A30" s="9" t="s">
        <v>10</v>
      </c>
      <c r="B30" s="6" t="s">
        <v>0</v>
      </c>
      <c r="C30" s="5">
        <v>77340</v>
      </c>
      <c r="D30" s="38">
        <v>8607.7464957469747</v>
      </c>
      <c r="E30" s="38">
        <v>5173.848488478895</v>
      </c>
      <c r="F30" s="38">
        <v>4798.4050157741303</v>
      </c>
      <c r="G30" s="5">
        <v>4600</v>
      </c>
      <c r="H30" s="5">
        <v>4580</v>
      </c>
      <c r="I30" s="5">
        <v>4510</v>
      </c>
      <c r="J30" s="5">
        <v>4480</v>
      </c>
      <c r="K30" s="5">
        <v>5440</v>
      </c>
      <c r="L30" s="5">
        <v>5830</v>
      </c>
      <c r="M30" s="5">
        <v>5920</v>
      </c>
      <c r="N30" s="5">
        <v>5790</v>
      </c>
      <c r="O30" s="5">
        <v>5280</v>
      </c>
      <c r="P30" s="5">
        <v>5060</v>
      </c>
      <c r="Q30" s="5">
        <v>3440</v>
      </c>
      <c r="R30" s="5">
        <v>2180</v>
      </c>
      <c r="S30" s="5">
        <v>1120</v>
      </c>
      <c r="T30" s="37">
        <v>530</v>
      </c>
    </row>
    <row r="31" spans="1:20" x14ac:dyDescent="0.2">
      <c r="A31" s="9" t="s">
        <v>10</v>
      </c>
      <c r="B31" s="6" t="s">
        <v>23</v>
      </c>
      <c r="C31" s="5">
        <v>78490</v>
      </c>
      <c r="D31" s="38">
        <v>7955.5669146940409</v>
      </c>
      <c r="E31" s="38">
        <v>4758.0847789886384</v>
      </c>
      <c r="F31" s="38">
        <v>4436.3483063173207</v>
      </c>
      <c r="G31" s="5">
        <v>4030</v>
      </c>
      <c r="H31" s="5">
        <v>4580</v>
      </c>
      <c r="I31" s="5">
        <v>4590</v>
      </c>
      <c r="J31" s="5">
        <v>4800</v>
      </c>
      <c r="K31" s="5">
        <v>5730</v>
      </c>
      <c r="L31" s="5">
        <v>6170</v>
      </c>
      <c r="M31" s="5">
        <v>6310</v>
      </c>
      <c r="N31" s="5">
        <v>6130</v>
      </c>
      <c r="O31" s="5">
        <v>5590</v>
      </c>
      <c r="P31" s="5">
        <v>5180</v>
      </c>
      <c r="Q31" s="5">
        <v>3510</v>
      </c>
      <c r="R31" s="5">
        <v>2380</v>
      </c>
      <c r="S31" s="5">
        <v>1400</v>
      </c>
      <c r="T31" s="37">
        <v>940</v>
      </c>
    </row>
    <row r="32" spans="1:20" x14ac:dyDescent="0.2">
      <c r="A32" s="9" t="s">
        <v>11</v>
      </c>
      <c r="B32" s="6" t="s">
        <v>22</v>
      </c>
      <c r="C32" s="5">
        <v>185390</v>
      </c>
      <c r="D32" s="38">
        <v>22312.054529048666</v>
      </c>
      <c r="E32" s="38">
        <v>13378.053442159013</v>
      </c>
      <c r="F32" s="38">
        <v>12439.892028792323</v>
      </c>
      <c r="G32" s="5">
        <v>10340</v>
      </c>
      <c r="H32" s="5">
        <v>11610</v>
      </c>
      <c r="I32" s="5">
        <v>10690</v>
      </c>
      <c r="J32" s="5">
        <v>10100</v>
      </c>
      <c r="K32" s="5">
        <v>11670</v>
      </c>
      <c r="L32" s="5">
        <v>13360</v>
      </c>
      <c r="M32" s="5">
        <v>14110</v>
      </c>
      <c r="N32" s="5">
        <v>14300</v>
      </c>
      <c r="O32" s="5">
        <v>13210</v>
      </c>
      <c r="P32" s="5">
        <v>11590</v>
      </c>
      <c r="Q32" s="5">
        <v>7560</v>
      </c>
      <c r="R32" s="5">
        <v>4980</v>
      </c>
      <c r="S32" s="5">
        <v>2410</v>
      </c>
      <c r="T32" s="37">
        <v>1330</v>
      </c>
    </row>
    <row r="33" spans="1:20" x14ac:dyDescent="0.2">
      <c r="A33" s="9" t="s">
        <v>11</v>
      </c>
      <c r="B33" s="6" t="s">
        <v>0</v>
      </c>
      <c r="C33" s="5">
        <v>92240</v>
      </c>
      <c r="D33" s="38">
        <v>11517.146280100635</v>
      </c>
      <c r="E33" s="38">
        <v>6922.5981390519555</v>
      </c>
      <c r="F33" s="38">
        <v>6420.2555808474099</v>
      </c>
      <c r="G33" s="5">
        <v>5330</v>
      </c>
      <c r="H33" s="5">
        <v>5790</v>
      </c>
      <c r="I33" s="5">
        <v>5310</v>
      </c>
      <c r="J33" s="5">
        <v>4960</v>
      </c>
      <c r="K33" s="5">
        <v>5800</v>
      </c>
      <c r="L33" s="5">
        <v>6500</v>
      </c>
      <c r="M33" s="5">
        <v>6800</v>
      </c>
      <c r="N33" s="5">
        <v>6930</v>
      </c>
      <c r="O33" s="5">
        <v>6530</v>
      </c>
      <c r="P33" s="5">
        <v>5800</v>
      </c>
      <c r="Q33" s="5">
        <v>3720</v>
      </c>
      <c r="R33" s="5">
        <v>2390</v>
      </c>
      <c r="S33" s="5">
        <v>1030</v>
      </c>
      <c r="T33" s="37">
        <v>490</v>
      </c>
    </row>
    <row r="34" spans="1:20" x14ac:dyDescent="0.2">
      <c r="A34" s="9" t="s">
        <v>11</v>
      </c>
      <c r="B34" s="6" t="s">
        <v>23</v>
      </c>
      <c r="C34" s="5">
        <v>93150</v>
      </c>
      <c r="D34" s="38">
        <v>10794.521405535297</v>
      </c>
      <c r="E34" s="38">
        <v>6456.0135747560125</v>
      </c>
      <c r="F34" s="38">
        <v>6019.4650197086912</v>
      </c>
      <c r="G34" s="5">
        <v>5010</v>
      </c>
      <c r="H34" s="5">
        <v>5820</v>
      </c>
      <c r="I34" s="5">
        <v>5380</v>
      </c>
      <c r="J34" s="5">
        <v>5140</v>
      </c>
      <c r="K34" s="5">
        <v>5870</v>
      </c>
      <c r="L34" s="5">
        <v>6860</v>
      </c>
      <c r="M34" s="5">
        <v>7310</v>
      </c>
      <c r="N34" s="5">
        <v>7370</v>
      </c>
      <c r="O34" s="5">
        <v>6680</v>
      </c>
      <c r="P34" s="5">
        <v>5790</v>
      </c>
      <c r="Q34" s="5">
        <v>3840</v>
      </c>
      <c r="R34" s="5">
        <v>2590</v>
      </c>
      <c r="S34" s="5">
        <v>1380</v>
      </c>
      <c r="T34" s="37">
        <v>840</v>
      </c>
    </row>
    <row r="35" spans="1:20" x14ac:dyDescent="0.2">
      <c r="A35" s="9" t="s">
        <v>12</v>
      </c>
      <c r="B35" s="6" t="s">
        <v>22</v>
      </c>
      <c r="C35" s="5">
        <v>0</v>
      </c>
      <c r="D35" s="38"/>
      <c r="E35" s="38"/>
      <c r="F35" s="38"/>
      <c r="T35" s="37"/>
    </row>
    <row r="36" spans="1:20" x14ac:dyDescent="0.2">
      <c r="A36" s="9" t="s">
        <v>12</v>
      </c>
      <c r="B36" s="6" t="s">
        <v>0</v>
      </c>
      <c r="C36" s="5">
        <v>0</v>
      </c>
      <c r="D36" s="38"/>
      <c r="E36" s="38"/>
      <c r="F36" s="38"/>
      <c r="T36" s="37"/>
    </row>
    <row r="37" spans="1:20" x14ac:dyDescent="0.2">
      <c r="A37" s="9" t="s">
        <v>12</v>
      </c>
      <c r="B37" s="6" t="s">
        <v>23</v>
      </c>
      <c r="C37" s="5">
        <v>0</v>
      </c>
      <c r="D37" s="38"/>
      <c r="E37" s="38"/>
      <c r="F37" s="38"/>
      <c r="T37" s="37"/>
    </row>
    <row r="38" spans="1:20" x14ac:dyDescent="0.2">
      <c r="A38" s="9" t="s">
        <v>13</v>
      </c>
      <c r="B38" s="6" t="s">
        <v>22</v>
      </c>
      <c r="C38" s="5">
        <v>58825</v>
      </c>
      <c r="D38" s="38">
        <v>6286.1304677726966</v>
      </c>
      <c r="E38" s="38">
        <v>3769.092139532022</v>
      </c>
      <c r="F38" s="38">
        <v>3504.7773926952814</v>
      </c>
      <c r="G38" s="5">
        <v>3595</v>
      </c>
      <c r="H38" s="5">
        <v>3955</v>
      </c>
      <c r="I38" s="5">
        <v>3410</v>
      </c>
      <c r="J38" s="5">
        <v>3470</v>
      </c>
      <c r="K38" s="5">
        <v>3790</v>
      </c>
      <c r="L38" s="5">
        <v>4175</v>
      </c>
      <c r="M38" s="5">
        <v>4560</v>
      </c>
      <c r="N38" s="5">
        <v>4450</v>
      </c>
      <c r="O38" s="5">
        <v>4060</v>
      </c>
      <c r="P38" s="5">
        <v>3750</v>
      </c>
      <c r="Q38" s="5">
        <v>2570</v>
      </c>
      <c r="R38" s="5">
        <v>1840</v>
      </c>
      <c r="S38" s="5">
        <v>1070</v>
      </c>
      <c r="T38" s="37">
        <v>570</v>
      </c>
    </row>
    <row r="39" spans="1:20" x14ac:dyDescent="0.2">
      <c r="A39" s="9" t="s">
        <v>13</v>
      </c>
      <c r="B39" s="6" t="s">
        <v>0</v>
      </c>
      <c r="C39" s="5">
        <v>29415</v>
      </c>
      <c r="D39" s="38">
        <v>3319.4027794417157</v>
      </c>
      <c r="E39" s="38">
        <v>1995.1896889101874</v>
      </c>
      <c r="F39" s="38">
        <v>1850.4075316480971</v>
      </c>
      <c r="G39" s="5">
        <v>1930</v>
      </c>
      <c r="H39" s="5">
        <v>1980</v>
      </c>
      <c r="I39" s="5">
        <v>1725</v>
      </c>
      <c r="J39" s="5">
        <v>1725</v>
      </c>
      <c r="K39" s="5">
        <v>1870</v>
      </c>
      <c r="L39" s="5">
        <v>2015</v>
      </c>
      <c r="M39" s="5">
        <v>2210</v>
      </c>
      <c r="N39" s="5">
        <v>2200</v>
      </c>
      <c r="O39" s="5">
        <v>2050</v>
      </c>
      <c r="P39" s="5">
        <v>1875</v>
      </c>
      <c r="Q39" s="5">
        <v>1225</v>
      </c>
      <c r="R39" s="5">
        <v>795</v>
      </c>
      <c r="S39" s="5">
        <v>460</v>
      </c>
      <c r="T39" s="37">
        <v>190</v>
      </c>
    </row>
    <row r="40" spans="1:20" x14ac:dyDescent="0.2">
      <c r="A40" s="9" t="s">
        <v>13</v>
      </c>
      <c r="B40" s="6" t="s">
        <v>23</v>
      </c>
      <c r="C40" s="5">
        <v>29410</v>
      </c>
      <c r="D40" s="38">
        <v>2966.5218903480113</v>
      </c>
      <c r="E40" s="38">
        <v>1774.2246158386206</v>
      </c>
      <c r="F40" s="38">
        <v>1654.2534938133683</v>
      </c>
      <c r="G40" s="5">
        <v>1665</v>
      </c>
      <c r="H40" s="5">
        <v>1975</v>
      </c>
      <c r="I40" s="5">
        <v>1685</v>
      </c>
      <c r="J40" s="5">
        <v>1745</v>
      </c>
      <c r="K40" s="5">
        <v>1920</v>
      </c>
      <c r="L40" s="5">
        <v>2160</v>
      </c>
      <c r="M40" s="5">
        <v>2350</v>
      </c>
      <c r="N40" s="5">
        <v>2250</v>
      </c>
      <c r="O40" s="5">
        <v>2010</v>
      </c>
      <c r="P40" s="5">
        <v>1875</v>
      </c>
      <c r="Q40" s="5">
        <v>1345</v>
      </c>
      <c r="R40" s="5">
        <v>1045</v>
      </c>
      <c r="S40" s="5">
        <v>610</v>
      </c>
      <c r="T40" s="37">
        <v>380</v>
      </c>
    </row>
    <row r="41" spans="1:20" x14ac:dyDescent="0.2">
      <c r="A41" s="9" t="s">
        <v>14</v>
      </c>
      <c r="B41" s="6" t="s">
        <v>22</v>
      </c>
      <c r="C41" s="5">
        <v>333070</v>
      </c>
      <c r="D41" s="38">
        <v>41814.820663207764</v>
      </c>
      <c r="E41" s="38">
        <v>25071.689600721857</v>
      </c>
      <c r="F41" s="38">
        <v>23313.489736070384</v>
      </c>
      <c r="G41" s="5">
        <v>25040</v>
      </c>
      <c r="H41" s="5">
        <v>24770</v>
      </c>
      <c r="I41" s="5">
        <v>22440</v>
      </c>
      <c r="J41" s="5">
        <v>20660</v>
      </c>
      <c r="K41" s="5">
        <v>21800</v>
      </c>
      <c r="L41" s="5">
        <v>22290</v>
      </c>
      <c r="M41" s="5">
        <v>22960</v>
      </c>
      <c r="N41" s="5">
        <v>21920</v>
      </c>
      <c r="O41" s="5">
        <v>18880</v>
      </c>
      <c r="P41" s="5">
        <v>16400</v>
      </c>
      <c r="Q41" s="5">
        <v>10830</v>
      </c>
      <c r="R41" s="5">
        <v>7850</v>
      </c>
      <c r="S41" s="5">
        <v>4330</v>
      </c>
      <c r="T41" s="37">
        <v>2700</v>
      </c>
    </row>
    <row r="42" spans="1:20" x14ac:dyDescent="0.2">
      <c r="A42" s="9" t="s">
        <v>14</v>
      </c>
      <c r="B42" s="6" t="s">
        <v>0</v>
      </c>
      <c r="C42" s="5">
        <v>165620</v>
      </c>
      <c r="D42" s="38">
        <v>21069.984425542112</v>
      </c>
      <c r="E42" s="38">
        <v>12664.51180064694</v>
      </c>
      <c r="F42" s="38">
        <v>11745.503773810949</v>
      </c>
      <c r="G42" s="5">
        <v>13170</v>
      </c>
      <c r="H42" s="5">
        <v>12650</v>
      </c>
      <c r="I42" s="5">
        <v>11270</v>
      </c>
      <c r="J42" s="5">
        <v>10310</v>
      </c>
      <c r="K42" s="5">
        <v>10870</v>
      </c>
      <c r="L42" s="5">
        <v>10880</v>
      </c>
      <c r="M42" s="5">
        <v>11330</v>
      </c>
      <c r="N42" s="5">
        <v>10770</v>
      </c>
      <c r="O42" s="5">
        <v>9390</v>
      </c>
      <c r="P42" s="5">
        <v>8120</v>
      </c>
      <c r="Q42" s="5">
        <v>5160</v>
      </c>
      <c r="R42" s="5">
        <v>3550</v>
      </c>
      <c r="S42" s="5">
        <v>1760</v>
      </c>
      <c r="T42" s="37">
        <v>910</v>
      </c>
    </row>
    <row r="43" spans="1:20" x14ac:dyDescent="0.2">
      <c r="A43" s="9" t="s">
        <v>14</v>
      </c>
      <c r="B43" s="6" t="s">
        <v>23</v>
      </c>
      <c r="C43" s="5">
        <v>167450</v>
      </c>
      <c r="D43" s="38">
        <v>20744.778567062247</v>
      </c>
      <c r="E43" s="38">
        <v>12407.08754031323</v>
      </c>
      <c r="F43" s="38">
        <v>11568.133892624524</v>
      </c>
      <c r="G43" s="5">
        <v>11870</v>
      </c>
      <c r="H43" s="5">
        <v>12120</v>
      </c>
      <c r="I43" s="5">
        <v>11170</v>
      </c>
      <c r="J43" s="5">
        <v>10350</v>
      </c>
      <c r="K43" s="5">
        <v>10930</v>
      </c>
      <c r="L43" s="5">
        <v>11410</v>
      </c>
      <c r="M43" s="5">
        <v>11630</v>
      </c>
      <c r="N43" s="5">
        <v>11150</v>
      </c>
      <c r="O43" s="5">
        <v>9490</v>
      </c>
      <c r="P43" s="5">
        <v>8280</v>
      </c>
      <c r="Q43" s="5">
        <v>5670</v>
      </c>
      <c r="R43" s="5">
        <v>4300</v>
      </c>
      <c r="S43" s="5">
        <v>2570</v>
      </c>
      <c r="T43" s="37">
        <v>1790</v>
      </c>
    </row>
    <row r="44" spans="1:20" x14ac:dyDescent="0.2">
      <c r="A44" s="9" t="s">
        <v>15</v>
      </c>
      <c r="B44" s="6" t="s">
        <v>22</v>
      </c>
      <c r="C44" s="5">
        <v>47735</v>
      </c>
      <c r="D44" s="38">
        <v>6550.3704653118148</v>
      </c>
      <c r="E44" s="38">
        <v>3927.527428583147</v>
      </c>
      <c r="F44" s="38">
        <v>3652.1021061050387</v>
      </c>
      <c r="G44" s="5">
        <v>3175</v>
      </c>
      <c r="H44" s="5">
        <v>3300</v>
      </c>
      <c r="I44" s="5">
        <v>2920</v>
      </c>
      <c r="J44" s="5">
        <v>2860</v>
      </c>
      <c r="K44" s="5">
        <v>3200</v>
      </c>
      <c r="L44" s="5">
        <v>3220</v>
      </c>
      <c r="M44" s="5">
        <v>3270</v>
      </c>
      <c r="N44" s="5">
        <v>3230</v>
      </c>
      <c r="O44" s="5">
        <v>2870</v>
      </c>
      <c r="P44" s="5">
        <v>2305</v>
      </c>
      <c r="Q44" s="5">
        <v>1435</v>
      </c>
      <c r="R44" s="5">
        <v>985</v>
      </c>
      <c r="S44" s="5">
        <v>540</v>
      </c>
      <c r="T44" s="37">
        <v>295</v>
      </c>
    </row>
    <row r="45" spans="1:20" x14ac:dyDescent="0.2">
      <c r="A45" s="9" t="s">
        <v>15</v>
      </c>
      <c r="B45" s="6" t="s">
        <v>0</v>
      </c>
      <c r="C45" s="5">
        <v>23620</v>
      </c>
      <c r="D45" s="38">
        <v>3391.2112136096803</v>
      </c>
      <c r="E45" s="38">
        <v>2038.3515035342041</v>
      </c>
      <c r="F45" s="38">
        <v>1890.4372828561159</v>
      </c>
      <c r="G45" s="5">
        <v>1635</v>
      </c>
      <c r="H45" s="5">
        <v>1580</v>
      </c>
      <c r="I45" s="5">
        <v>1405</v>
      </c>
      <c r="J45" s="5">
        <v>1430</v>
      </c>
      <c r="K45" s="5">
        <v>1615</v>
      </c>
      <c r="L45" s="5">
        <v>1535</v>
      </c>
      <c r="M45" s="5">
        <v>1570</v>
      </c>
      <c r="N45" s="5">
        <v>1570</v>
      </c>
      <c r="O45" s="5">
        <v>1430</v>
      </c>
      <c r="P45" s="5">
        <v>1115</v>
      </c>
      <c r="Q45" s="5">
        <v>680</v>
      </c>
      <c r="R45" s="5">
        <v>410</v>
      </c>
      <c r="S45" s="5">
        <v>235</v>
      </c>
      <c r="T45" s="37">
        <v>90</v>
      </c>
    </row>
    <row r="46" spans="1:20" x14ac:dyDescent="0.2">
      <c r="A46" s="9" t="s">
        <v>15</v>
      </c>
      <c r="B46" s="6" t="s">
        <v>23</v>
      </c>
      <c r="C46" s="5">
        <v>24115</v>
      </c>
      <c r="D46" s="38">
        <v>3159.0326932400244</v>
      </c>
      <c r="E46" s="38">
        <v>1889.3619443097741</v>
      </c>
      <c r="F46" s="38">
        <v>1761.6053624502015</v>
      </c>
      <c r="G46" s="5">
        <v>1540</v>
      </c>
      <c r="H46" s="5">
        <v>1720</v>
      </c>
      <c r="I46" s="5">
        <v>1515</v>
      </c>
      <c r="J46" s="5">
        <v>1430</v>
      </c>
      <c r="K46" s="5">
        <v>1585</v>
      </c>
      <c r="L46" s="5">
        <v>1685</v>
      </c>
      <c r="M46" s="5">
        <v>1700</v>
      </c>
      <c r="N46" s="5">
        <v>1660</v>
      </c>
      <c r="O46" s="5">
        <v>1440</v>
      </c>
      <c r="P46" s="5">
        <v>1190</v>
      </c>
      <c r="Q46" s="5">
        <v>755</v>
      </c>
      <c r="R46" s="5">
        <v>575</v>
      </c>
      <c r="S46" s="5">
        <v>305</v>
      </c>
      <c r="T46" s="37">
        <v>205</v>
      </c>
    </row>
    <row r="47" spans="1:20" x14ac:dyDescent="0.2">
      <c r="A47" s="9" t="s">
        <v>16</v>
      </c>
      <c r="B47" s="6" t="s">
        <v>22</v>
      </c>
      <c r="C47" s="5">
        <v>118480</v>
      </c>
      <c r="D47" s="38">
        <v>14616.644074400672</v>
      </c>
      <c r="E47" s="38">
        <v>8763.9730943543254</v>
      </c>
      <c r="F47" s="38">
        <v>8149.3828312450014</v>
      </c>
      <c r="G47" s="5">
        <v>7270</v>
      </c>
      <c r="H47" s="5">
        <v>8040</v>
      </c>
      <c r="I47" s="5">
        <v>7880</v>
      </c>
      <c r="J47" s="5">
        <v>7535</v>
      </c>
      <c r="K47" s="5">
        <v>8105</v>
      </c>
      <c r="L47" s="5">
        <v>8320</v>
      </c>
      <c r="M47" s="5">
        <v>8440</v>
      </c>
      <c r="N47" s="5">
        <v>8270</v>
      </c>
      <c r="O47" s="5">
        <v>7035</v>
      </c>
      <c r="P47" s="5">
        <v>6125</v>
      </c>
      <c r="Q47" s="5">
        <v>4290</v>
      </c>
      <c r="R47" s="5">
        <v>2910</v>
      </c>
      <c r="S47" s="5">
        <v>1725</v>
      </c>
      <c r="T47" s="37">
        <v>1005</v>
      </c>
    </row>
    <row r="48" spans="1:20" x14ac:dyDescent="0.2">
      <c r="A48" s="9" t="s">
        <v>16</v>
      </c>
      <c r="B48" s="6" t="s">
        <v>0</v>
      </c>
      <c r="C48" s="5">
        <v>58945</v>
      </c>
      <c r="D48" s="38">
        <v>7671.9204504612435</v>
      </c>
      <c r="E48" s="38">
        <v>4611.3525817659038</v>
      </c>
      <c r="F48" s="38">
        <v>4276.7269677728527</v>
      </c>
      <c r="G48" s="5">
        <v>3750</v>
      </c>
      <c r="H48" s="5">
        <v>3960</v>
      </c>
      <c r="I48" s="5">
        <v>3895</v>
      </c>
      <c r="J48" s="5">
        <v>3755</v>
      </c>
      <c r="K48" s="5">
        <v>3940</v>
      </c>
      <c r="L48" s="5">
        <v>4105</v>
      </c>
      <c r="M48" s="5">
        <v>4130</v>
      </c>
      <c r="N48" s="5">
        <v>3975</v>
      </c>
      <c r="O48" s="5">
        <v>3490</v>
      </c>
      <c r="P48" s="5">
        <v>3020</v>
      </c>
      <c r="Q48" s="5">
        <v>2050</v>
      </c>
      <c r="R48" s="5">
        <v>1290</v>
      </c>
      <c r="S48" s="5">
        <v>685</v>
      </c>
      <c r="T48" s="37">
        <v>340</v>
      </c>
    </row>
    <row r="49" spans="1:20" x14ac:dyDescent="0.2">
      <c r="A49" s="9" t="s">
        <v>16</v>
      </c>
      <c r="B49" s="6" t="s">
        <v>23</v>
      </c>
      <c r="C49" s="5">
        <v>59535</v>
      </c>
      <c r="D49" s="38">
        <v>6944.3053476950317</v>
      </c>
      <c r="E49" s="38">
        <v>4153.2670053329393</v>
      </c>
      <c r="F49" s="38">
        <v>3872.4276469720289</v>
      </c>
      <c r="G49" s="5">
        <v>3520</v>
      </c>
      <c r="H49" s="5">
        <v>4080</v>
      </c>
      <c r="I49" s="5">
        <v>3985</v>
      </c>
      <c r="J49" s="5">
        <v>3780</v>
      </c>
      <c r="K49" s="5">
        <v>4165</v>
      </c>
      <c r="L49" s="5">
        <v>4215</v>
      </c>
      <c r="M49" s="5">
        <v>4310</v>
      </c>
      <c r="N49" s="5">
        <v>4295</v>
      </c>
      <c r="O49" s="5">
        <v>3545</v>
      </c>
      <c r="P49" s="5">
        <v>3105</v>
      </c>
      <c r="Q49" s="5">
        <v>2240</v>
      </c>
      <c r="R49" s="5">
        <v>1620</v>
      </c>
      <c r="S49" s="5">
        <v>1040</v>
      </c>
      <c r="T49" s="37">
        <v>665</v>
      </c>
    </row>
    <row r="50" spans="1:20" x14ac:dyDescent="0.2">
      <c r="A50" s="11" t="s">
        <v>17</v>
      </c>
      <c r="B50" s="6" t="s">
        <v>22</v>
      </c>
      <c r="C50" s="5">
        <v>416020</v>
      </c>
      <c r="D50" s="38">
        <v>54920.197383261904</v>
      </c>
      <c r="E50" s="38">
        <v>32929.524024362734</v>
      </c>
      <c r="F50" s="38">
        <v>30620.278592375369</v>
      </c>
      <c r="G50" s="5">
        <v>30070</v>
      </c>
      <c r="H50" s="5">
        <v>30320</v>
      </c>
      <c r="I50" s="5">
        <v>27670</v>
      </c>
      <c r="J50" s="5">
        <v>26060</v>
      </c>
      <c r="K50" s="5">
        <v>27150</v>
      </c>
      <c r="L50" s="5">
        <v>28330</v>
      </c>
      <c r="M50" s="5">
        <v>27300</v>
      </c>
      <c r="N50" s="5">
        <v>26020</v>
      </c>
      <c r="O50" s="5">
        <v>22930</v>
      </c>
      <c r="P50" s="5">
        <v>20220</v>
      </c>
      <c r="Q50" s="5">
        <v>14050</v>
      </c>
      <c r="R50" s="5">
        <v>9460</v>
      </c>
      <c r="S50" s="5">
        <v>5110</v>
      </c>
      <c r="T50" s="37">
        <v>2860</v>
      </c>
    </row>
    <row r="51" spans="1:20" x14ac:dyDescent="0.2">
      <c r="A51" s="11" t="s">
        <v>17</v>
      </c>
      <c r="B51" s="6" t="s">
        <v>0</v>
      </c>
      <c r="C51" s="5">
        <v>205740</v>
      </c>
      <c r="D51" s="38">
        <v>28176.703007068409</v>
      </c>
      <c r="E51" s="38">
        <v>16936.139131823809</v>
      </c>
      <c r="F51" s="38">
        <v>15707.157861107782</v>
      </c>
      <c r="G51" s="5">
        <v>15530</v>
      </c>
      <c r="H51" s="5">
        <v>14830</v>
      </c>
      <c r="I51" s="5">
        <v>13750</v>
      </c>
      <c r="J51" s="5">
        <v>12850</v>
      </c>
      <c r="K51" s="5">
        <v>13300</v>
      </c>
      <c r="L51" s="5">
        <v>13850</v>
      </c>
      <c r="M51" s="5">
        <v>13320</v>
      </c>
      <c r="N51" s="5">
        <v>12440</v>
      </c>
      <c r="O51" s="5">
        <v>11100</v>
      </c>
      <c r="P51" s="5">
        <v>9840</v>
      </c>
      <c r="Q51" s="5">
        <v>6630</v>
      </c>
      <c r="R51" s="5">
        <v>4320</v>
      </c>
      <c r="S51" s="5">
        <v>2170</v>
      </c>
      <c r="T51" s="37">
        <v>990</v>
      </c>
    </row>
    <row r="52" spans="1:20" x14ac:dyDescent="0.2">
      <c r="A52" s="11" t="s">
        <v>17</v>
      </c>
      <c r="B52" s="6" t="s">
        <v>23</v>
      </c>
      <c r="C52" s="5">
        <v>210280</v>
      </c>
      <c r="D52" s="38">
        <v>26742.765751143525</v>
      </c>
      <c r="E52" s="38">
        <v>15994.378280390378</v>
      </c>
      <c r="F52" s="38">
        <v>14912.855968466096</v>
      </c>
      <c r="G52" s="5">
        <v>14540</v>
      </c>
      <c r="H52" s="5">
        <v>15490</v>
      </c>
      <c r="I52" s="5">
        <v>13920</v>
      </c>
      <c r="J52" s="5">
        <v>13210</v>
      </c>
      <c r="K52" s="5">
        <v>13850</v>
      </c>
      <c r="L52" s="5">
        <v>14480</v>
      </c>
      <c r="M52" s="5">
        <v>13980</v>
      </c>
      <c r="N52" s="5">
        <v>13580</v>
      </c>
      <c r="O52" s="5">
        <v>11830</v>
      </c>
      <c r="P52" s="5">
        <v>10380</v>
      </c>
      <c r="Q52" s="5">
        <v>7420</v>
      </c>
      <c r="R52" s="5">
        <v>5140</v>
      </c>
      <c r="S52" s="5">
        <v>2940</v>
      </c>
      <c r="T52" s="37">
        <v>1870</v>
      </c>
    </row>
    <row r="53" spans="1:20" x14ac:dyDescent="0.2">
      <c r="A53" s="9" t="s">
        <v>18</v>
      </c>
      <c r="B53" s="6" t="s">
        <v>22</v>
      </c>
      <c r="C53" s="5">
        <v>46920</v>
      </c>
      <c r="D53" s="38">
        <v>5187.4483727416282</v>
      </c>
      <c r="E53" s="38">
        <v>3110.3348850562925</v>
      </c>
      <c r="F53" s="38">
        <v>2892.2167422020793</v>
      </c>
      <c r="G53" s="5">
        <v>2520</v>
      </c>
      <c r="H53" s="5">
        <v>2655</v>
      </c>
      <c r="I53" s="5">
        <v>2605</v>
      </c>
      <c r="J53" s="5">
        <v>2810</v>
      </c>
      <c r="K53" s="5">
        <v>3185</v>
      </c>
      <c r="L53" s="5">
        <v>3395</v>
      </c>
      <c r="M53" s="5">
        <v>3580</v>
      </c>
      <c r="N53" s="5">
        <v>3560</v>
      </c>
      <c r="O53" s="5">
        <v>3455</v>
      </c>
      <c r="P53" s="5">
        <v>3195</v>
      </c>
      <c r="Q53" s="5">
        <v>2150</v>
      </c>
      <c r="R53" s="5">
        <v>1430</v>
      </c>
      <c r="S53" s="5">
        <v>770</v>
      </c>
      <c r="T53" s="37">
        <v>420</v>
      </c>
    </row>
    <row r="54" spans="1:20" x14ac:dyDescent="0.2">
      <c r="A54" s="9" t="s">
        <v>18</v>
      </c>
      <c r="B54" s="6" t="s">
        <v>0</v>
      </c>
      <c r="C54" s="5">
        <v>23030</v>
      </c>
      <c r="D54" s="38">
        <v>2682.3924763388045</v>
      </c>
      <c r="E54" s="38">
        <v>1612.3026236971368</v>
      </c>
      <c r="F54" s="38">
        <v>1495.3048999640589</v>
      </c>
      <c r="G54" s="5">
        <v>1280</v>
      </c>
      <c r="H54" s="5">
        <v>1330</v>
      </c>
      <c r="I54" s="5">
        <v>1285</v>
      </c>
      <c r="J54" s="5">
        <v>1335</v>
      </c>
      <c r="K54" s="5">
        <v>1500</v>
      </c>
      <c r="L54" s="5">
        <v>1635</v>
      </c>
      <c r="M54" s="5">
        <v>1745</v>
      </c>
      <c r="N54" s="5">
        <v>1705</v>
      </c>
      <c r="O54" s="5">
        <v>1690</v>
      </c>
      <c r="P54" s="5">
        <v>1545</v>
      </c>
      <c r="Q54" s="5">
        <v>1085</v>
      </c>
      <c r="R54" s="5">
        <v>630</v>
      </c>
      <c r="S54" s="5">
        <v>345</v>
      </c>
      <c r="T54" s="37">
        <v>130</v>
      </c>
    </row>
    <row r="55" spans="1:20" x14ac:dyDescent="0.2">
      <c r="A55" s="9" t="s">
        <v>18</v>
      </c>
      <c r="B55" s="6" t="s">
        <v>23</v>
      </c>
      <c r="C55" s="5">
        <v>23890</v>
      </c>
      <c r="D55" s="38">
        <v>2504.9598448599313</v>
      </c>
      <c r="E55" s="38">
        <v>1498.1724668535653</v>
      </c>
      <c r="F55" s="38">
        <v>1396.8676882865034</v>
      </c>
      <c r="G55" s="5">
        <v>1240</v>
      </c>
      <c r="H55" s="5">
        <v>1325</v>
      </c>
      <c r="I55" s="5">
        <v>1320</v>
      </c>
      <c r="J55" s="5">
        <v>1475</v>
      </c>
      <c r="K55" s="5">
        <v>1685</v>
      </c>
      <c r="L55" s="5">
        <v>1760</v>
      </c>
      <c r="M55" s="5">
        <v>1835</v>
      </c>
      <c r="N55" s="5">
        <v>1855</v>
      </c>
      <c r="O55" s="5">
        <v>1765</v>
      </c>
      <c r="P55" s="5">
        <v>1650</v>
      </c>
      <c r="Q55" s="5">
        <v>1065</v>
      </c>
      <c r="R55" s="5">
        <v>800</v>
      </c>
      <c r="S55" s="5">
        <v>425</v>
      </c>
      <c r="T55" s="37">
        <v>290</v>
      </c>
    </row>
    <row r="56" spans="1:20" x14ac:dyDescent="0.2">
      <c r="A56" s="9" t="s">
        <v>19</v>
      </c>
      <c r="B56" s="6" t="s">
        <v>22</v>
      </c>
      <c r="C56" s="5">
        <v>600540</v>
      </c>
      <c r="D56" s="38">
        <v>75109.060353136607</v>
      </c>
      <c r="E56" s="38">
        <v>45034.536021163585</v>
      </c>
      <c r="F56" s="38">
        <v>41876.403625699815</v>
      </c>
      <c r="G56" s="5">
        <v>46080</v>
      </c>
      <c r="H56" s="5">
        <v>50110</v>
      </c>
      <c r="I56" s="5">
        <v>49390</v>
      </c>
      <c r="J56" s="5">
        <v>42920</v>
      </c>
      <c r="K56" s="5">
        <v>42180</v>
      </c>
      <c r="L56" s="5">
        <v>42300</v>
      </c>
      <c r="M56" s="5">
        <v>39770</v>
      </c>
      <c r="N56" s="5">
        <v>34520</v>
      </c>
      <c r="O56" s="5">
        <v>27940</v>
      </c>
      <c r="P56" s="5">
        <v>23710</v>
      </c>
      <c r="Q56" s="5">
        <v>17130</v>
      </c>
      <c r="R56" s="5">
        <v>11660</v>
      </c>
      <c r="S56" s="5">
        <v>6500</v>
      </c>
      <c r="T56" s="37">
        <v>4310</v>
      </c>
    </row>
    <row r="57" spans="1:20" x14ac:dyDescent="0.2">
      <c r="A57" s="10" t="s">
        <v>19</v>
      </c>
      <c r="B57" s="6" t="s">
        <v>0</v>
      </c>
      <c r="C57" s="5">
        <v>296100</v>
      </c>
      <c r="D57" s="38">
        <v>38846.046483766622</v>
      </c>
      <c r="E57" s="38">
        <v>23349.149394992215</v>
      </c>
      <c r="F57" s="38">
        <v>21654.804121241163</v>
      </c>
      <c r="G57" s="5">
        <v>23520</v>
      </c>
      <c r="H57" s="5">
        <v>24410</v>
      </c>
      <c r="I57" s="5">
        <v>23990</v>
      </c>
      <c r="J57" s="5">
        <v>21130</v>
      </c>
      <c r="K57" s="5">
        <v>20720</v>
      </c>
      <c r="L57" s="5">
        <v>20600</v>
      </c>
      <c r="M57" s="5">
        <v>19260</v>
      </c>
      <c r="N57" s="5">
        <v>16430</v>
      </c>
      <c r="O57" s="5">
        <v>13430</v>
      </c>
      <c r="P57" s="5">
        <v>11340</v>
      </c>
      <c r="Q57" s="5">
        <v>8030</v>
      </c>
      <c r="R57" s="5">
        <v>5210</v>
      </c>
      <c r="S57" s="5">
        <v>2750</v>
      </c>
      <c r="T57" s="37">
        <v>1430</v>
      </c>
    </row>
    <row r="58" spans="1:20" x14ac:dyDescent="0.2">
      <c r="A58" s="10" t="s">
        <v>19</v>
      </c>
      <c r="B58" s="6" t="s">
        <v>23</v>
      </c>
      <c r="C58" s="5">
        <v>304440</v>
      </c>
      <c r="D58" s="38">
        <v>36261.613161611262</v>
      </c>
      <c r="E58" s="38">
        <v>21687.433654433928</v>
      </c>
      <c r="F58" s="38">
        <v>20220.953183954811</v>
      </c>
      <c r="G58" s="5">
        <v>22560</v>
      </c>
      <c r="H58" s="5">
        <v>25700</v>
      </c>
      <c r="I58" s="5">
        <v>25400</v>
      </c>
      <c r="J58" s="5">
        <v>21790</v>
      </c>
      <c r="K58" s="5">
        <v>21460</v>
      </c>
      <c r="L58" s="5">
        <v>21700</v>
      </c>
      <c r="M58" s="5">
        <v>20510</v>
      </c>
      <c r="N58" s="5">
        <v>18090</v>
      </c>
      <c r="O58" s="5">
        <v>14510</v>
      </c>
      <c r="P58" s="5">
        <v>12370</v>
      </c>
      <c r="Q58" s="5">
        <v>9100</v>
      </c>
      <c r="R58" s="5">
        <v>6450</v>
      </c>
      <c r="S58" s="5">
        <v>3750</v>
      </c>
      <c r="T58" s="37">
        <v>2880</v>
      </c>
    </row>
    <row r="59" spans="1:20" x14ac:dyDescent="0.2">
      <c r="A59" s="9" t="s">
        <v>20</v>
      </c>
      <c r="B59" s="6" t="s">
        <v>22</v>
      </c>
      <c r="C59" s="5">
        <v>30890</v>
      </c>
      <c r="D59" s="38">
        <v>3189.4231281914567</v>
      </c>
      <c r="E59" s="38">
        <v>1912.3417345118223</v>
      </c>
      <c r="F59" s="38">
        <v>1778.2351372967209</v>
      </c>
      <c r="G59" s="5">
        <v>1770</v>
      </c>
      <c r="H59" s="5">
        <v>2020</v>
      </c>
      <c r="I59" s="5">
        <v>1730</v>
      </c>
      <c r="J59" s="5">
        <v>1700</v>
      </c>
      <c r="K59" s="5">
        <v>1970</v>
      </c>
      <c r="L59" s="5">
        <v>2350</v>
      </c>
      <c r="M59" s="5">
        <v>2720</v>
      </c>
      <c r="N59" s="5">
        <v>2730</v>
      </c>
      <c r="O59" s="5">
        <v>2325</v>
      </c>
      <c r="P59" s="5">
        <v>1960</v>
      </c>
      <c r="Q59" s="5">
        <v>1305</v>
      </c>
      <c r="R59" s="5">
        <v>835</v>
      </c>
      <c r="S59" s="5">
        <v>385</v>
      </c>
      <c r="T59" s="37">
        <v>210</v>
      </c>
    </row>
    <row r="60" spans="1:20" x14ac:dyDescent="0.2">
      <c r="A60" s="9" t="s">
        <v>20</v>
      </c>
      <c r="B60" s="6" t="s">
        <v>0</v>
      </c>
      <c r="C60" s="5">
        <v>15750</v>
      </c>
      <c r="D60" s="38">
        <v>1690.9728046004552</v>
      </c>
      <c r="E60" s="38">
        <v>1016.3911185655526</v>
      </c>
      <c r="F60" s="38">
        <v>942.63607683399221</v>
      </c>
      <c r="G60" s="5">
        <v>840</v>
      </c>
      <c r="H60" s="5">
        <v>970</v>
      </c>
      <c r="I60" s="5">
        <v>895</v>
      </c>
      <c r="J60" s="5">
        <v>825</v>
      </c>
      <c r="K60" s="5">
        <v>970</v>
      </c>
      <c r="L60" s="5">
        <v>1175</v>
      </c>
      <c r="M60" s="5">
        <v>1380</v>
      </c>
      <c r="N60" s="5">
        <v>1445</v>
      </c>
      <c r="O60" s="5">
        <v>1230</v>
      </c>
      <c r="P60" s="5">
        <v>1060</v>
      </c>
      <c r="Q60" s="5">
        <v>650</v>
      </c>
      <c r="R60" s="5">
        <v>400</v>
      </c>
      <c r="S60" s="5">
        <v>190</v>
      </c>
      <c r="T60" s="37">
        <v>70</v>
      </c>
    </row>
    <row r="61" spans="1:20" x14ac:dyDescent="0.2">
      <c r="A61" s="9" t="s">
        <v>20</v>
      </c>
      <c r="B61" s="6" t="s">
        <v>23</v>
      </c>
      <c r="C61" s="5">
        <v>15140</v>
      </c>
      <c r="D61" s="38">
        <v>1498.3370923884404</v>
      </c>
      <c r="E61" s="38">
        <v>896.12908665500299</v>
      </c>
      <c r="F61" s="38">
        <v>835.53382095655661</v>
      </c>
      <c r="G61" s="5">
        <v>930</v>
      </c>
      <c r="H61" s="5">
        <v>1050</v>
      </c>
      <c r="I61" s="5">
        <v>835</v>
      </c>
      <c r="J61" s="5">
        <v>875</v>
      </c>
      <c r="K61" s="5">
        <v>1000</v>
      </c>
      <c r="L61" s="5">
        <v>1175</v>
      </c>
      <c r="M61" s="5">
        <v>1340</v>
      </c>
      <c r="N61" s="5">
        <v>1285</v>
      </c>
      <c r="O61" s="5">
        <v>1095</v>
      </c>
      <c r="P61" s="5">
        <v>900</v>
      </c>
      <c r="Q61" s="5">
        <v>655</v>
      </c>
      <c r="R61" s="5">
        <v>435</v>
      </c>
      <c r="S61" s="5">
        <v>195</v>
      </c>
      <c r="T61" s="37">
        <v>140</v>
      </c>
    </row>
    <row r="62" spans="1:20" x14ac:dyDescent="0.2">
      <c r="A62" s="13" t="s">
        <v>21</v>
      </c>
      <c r="B62" s="6" t="s">
        <v>22</v>
      </c>
      <c r="C62" s="5">
        <v>64640</v>
      </c>
      <c r="D62" s="38">
        <v>7811.3051904107624</v>
      </c>
      <c r="E62" s="38">
        <v>4683.5695096692161</v>
      </c>
      <c r="F62" s="38">
        <v>4355.1252999200215</v>
      </c>
      <c r="G62" s="5">
        <v>3880</v>
      </c>
      <c r="H62" s="5">
        <v>4230</v>
      </c>
      <c r="I62" s="5">
        <v>3720</v>
      </c>
      <c r="J62" s="5">
        <v>3470</v>
      </c>
      <c r="K62" s="5">
        <v>4100</v>
      </c>
      <c r="L62" s="5">
        <v>4470</v>
      </c>
      <c r="M62" s="5">
        <v>4870</v>
      </c>
      <c r="N62" s="5">
        <v>4790</v>
      </c>
      <c r="O62" s="5">
        <v>4350</v>
      </c>
      <c r="P62" s="5">
        <v>3860</v>
      </c>
      <c r="Q62" s="5">
        <v>2670</v>
      </c>
      <c r="R62" s="5">
        <v>1860</v>
      </c>
      <c r="S62" s="5">
        <v>960</v>
      </c>
      <c r="T62" s="37">
        <v>560</v>
      </c>
    </row>
    <row r="63" spans="1:20" x14ac:dyDescent="0.2">
      <c r="A63" s="10" t="s">
        <v>21</v>
      </c>
      <c r="B63" s="6" t="s">
        <v>0</v>
      </c>
      <c r="C63" s="5">
        <v>31890</v>
      </c>
      <c r="D63" s="38">
        <v>4002.7411045884746</v>
      </c>
      <c r="E63" s="38">
        <v>2405.9230861387327</v>
      </c>
      <c r="F63" s="38">
        <v>2231.3358092727926</v>
      </c>
      <c r="G63" s="5">
        <v>1980</v>
      </c>
      <c r="H63" s="5">
        <v>2140</v>
      </c>
      <c r="I63" s="5">
        <v>1880</v>
      </c>
      <c r="J63" s="5">
        <v>1740</v>
      </c>
      <c r="K63" s="5">
        <v>1990</v>
      </c>
      <c r="L63" s="5">
        <v>2190</v>
      </c>
      <c r="M63" s="5">
        <v>2320</v>
      </c>
      <c r="N63" s="5">
        <v>2310</v>
      </c>
      <c r="O63" s="5">
        <v>2140</v>
      </c>
      <c r="P63" s="5">
        <v>1890</v>
      </c>
      <c r="Q63" s="5">
        <v>1270</v>
      </c>
      <c r="R63" s="5">
        <v>800</v>
      </c>
      <c r="S63" s="5">
        <v>390</v>
      </c>
      <c r="T63" s="37">
        <v>210</v>
      </c>
    </row>
    <row r="64" spans="1:20" x14ac:dyDescent="0.2">
      <c r="A64" s="10" t="s">
        <v>21</v>
      </c>
      <c r="B64" s="6" t="s">
        <v>23</v>
      </c>
      <c r="C64" s="5">
        <v>32750</v>
      </c>
      <c r="D64" s="38">
        <v>3808.4667270925993</v>
      </c>
      <c r="E64" s="38">
        <v>2277.7770283088466</v>
      </c>
      <c r="F64" s="38">
        <v>2123.7562445985541</v>
      </c>
      <c r="G64" s="5">
        <v>1900</v>
      </c>
      <c r="H64" s="5">
        <v>2090</v>
      </c>
      <c r="I64" s="5">
        <v>1840</v>
      </c>
      <c r="J64" s="5">
        <v>1730</v>
      </c>
      <c r="K64" s="5">
        <v>2110</v>
      </c>
      <c r="L64" s="5">
        <v>2280</v>
      </c>
      <c r="M64" s="5">
        <v>2550</v>
      </c>
      <c r="N64" s="5">
        <v>2480</v>
      </c>
      <c r="O64" s="5">
        <v>2210</v>
      </c>
      <c r="P64" s="5">
        <v>1970</v>
      </c>
      <c r="Q64" s="5">
        <v>1400</v>
      </c>
      <c r="R64" s="5">
        <v>1060</v>
      </c>
      <c r="S64" s="5">
        <v>570</v>
      </c>
      <c r="T64" s="37">
        <v>350</v>
      </c>
    </row>
    <row r="65" spans="1:20" x14ac:dyDescent="0.2">
      <c r="A65" s="13" t="s">
        <v>22</v>
      </c>
      <c r="B65" s="6" t="s">
        <v>22</v>
      </c>
      <c r="C65" s="5">
        <v>4817550</v>
      </c>
      <c r="D65" s="38">
        <v>607830.80276028963</v>
      </c>
      <c r="E65" s="38">
        <v>364448.41744765494</v>
      </c>
      <c r="F65" s="38">
        <v>338890.77979205549</v>
      </c>
      <c r="G65" s="5">
        <v>370120</v>
      </c>
      <c r="H65" s="5">
        <v>379010</v>
      </c>
      <c r="I65" s="5">
        <v>340755</v>
      </c>
      <c r="J65" s="5">
        <v>312245</v>
      </c>
      <c r="K65" s="5">
        <v>325050</v>
      </c>
      <c r="L65" s="5">
        <v>333210</v>
      </c>
      <c r="M65" s="5">
        <v>325780</v>
      </c>
      <c r="N65" s="5">
        <v>298820</v>
      </c>
      <c r="O65" s="5">
        <v>254865</v>
      </c>
      <c r="P65" s="5">
        <v>220245</v>
      </c>
      <c r="Q65" s="5">
        <v>151160</v>
      </c>
      <c r="R65" s="5">
        <v>104160</v>
      </c>
      <c r="S65" s="5">
        <v>56770</v>
      </c>
      <c r="T65" s="37">
        <v>34190</v>
      </c>
    </row>
    <row r="66" spans="1:20" x14ac:dyDescent="0.2">
      <c r="A66" s="10" t="s">
        <v>22</v>
      </c>
      <c r="B66" s="6" t="s">
        <v>0</v>
      </c>
      <c r="C66" s="5">
        <v>2386850</v>
      </c>
      <c r="D66" s="38">
        <v>312457.02827363124</v>
      </c>
      <c r="E66" s="38">
        <v>187808.19396190249</v>
      </c>
      <c r="F66" s="38">
        <v>174179.77776446627</v>
      </c>
      <c r="G66" s="5">
        <v>191225</v>
      </c>
      <c r="H66" s="5">
        <v>188500</v>
      </c>
      <c r="I66" s="5">
        <v>168825</v>
      </c>
      <c r="J66" s="5">
        <v>154320</v>
      </c>
      <c r="K66" s="5">
        <v>159565</v>
      </c>
      <c r="L66" s="5">
        <v>162745</v>
      </c>
      <c r="M66" s="5">
        <v>158585</v>
      </c>
      <c r="N66" s="5">
        <v>144735</v>
      </c>
      <c r="O66" s="5">
        <v>123520</v>
      </c>
      <c r="P66" s="5">
        <v>106865</v>
      </c>
      <c r="Q66" s="5">
        <v>71500</v>
      </c>
      <c r="R66" s="5">
        <v>46815</v>
      </c>
      <c r="S66" s="5">
        <v>23505</v>
      </c>
      <c r="T66" s="37">
        <v>11700</v>
      </c>
    </row>
    <row r="67" spans="1:20" x14ac:dyDescent="0.2">
      <c r="A67" s="10" t="s">
        <v>22</v>
      </c>
      <c r="B67" s="6" t="s">
        <v>23</v>
      </c>
      <c r="C67" s="5">
        <v>2430700</v>
      </c>
      <c r="D67" s="38">
        <v>295364.91800341476</v>
      </c>
      <c r="E67" s="38">
        <v>176652.56739950675</v>
      </c>
      <c r="F67" s="38">
        <v>164707.51459707849</v>
      </c>
      <c r="G67" s="5">
        <v>178895</v>
      </c>
      <c r="H67" s="5">
        <v>190510</v>
      </c>
      <c r="I67" s="5">
        <v>171930</v>
      </c>
      <c r="J67" s="5">
        <v>157925</v>
      </c>
      <c r="K67" s="5">
        <v>165485</v>
      </c>
      <c r="L67" s="5">
        <v>170465</v>
      </c>
      <c r="M67" s="5">
        <v>167195</v>
      </c>
      <c r="N67" s="5">
        <v>154085</v>
      </c>
      <c r="O67" s="5">
        <v>131345</v>
      </c>
      <c r="P67" s="5">
        <v>113380</v>
      </c>
      <c r="Q67" s="5">
        <v>79660</v>
      </c>
      <c r="R67" s="5">
        <v>57345</v>
      </c>
      <c r="S67" s="5">
        <v>33265</v>
      </c>
      <c r="T67" s="37">
        <v>22490</v>
      </c>
    </row>
  </sheetData>
  <pageMargins left="0.7" right="0.7" top="0.75" bottom="0.75" header="0.3" footer="0.3"/>
  <ignoredErrors>
    <ignoredError sqref="C2:T64 C65:T67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18CA-4A00-FF46-B7F5-CFC0DA1CDE99}">
  <dimension ref="A1:T67"/>
  <sheetViews>
    <sheetView zoomScale="112" zoomScaleNormal="150" workbookViewId="0">
      <selection activeCell="F19" sqref="F19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38290</v>
      </c>
      <c r="D2" s="38">
        <v>5275.383669306455</v>
      </c>
      <c r="E2" s="38">
        <v>4532.4874010079193</v>
      </c>
      <c r="F2" s="38">
        <v>4582.1289296856257</v>
      </c>
      <c r="G2" s="5">
        <v>4330</v>
      </c>
      <c r="H2" s="5">
        <v>3440</v>
      </c>
      <c r="I2" s="5">
        <v>2420</v>
      </c>
      <c r="J2" s="5">
        <v>2290</v>
      </c>
      <c r="K2" s="5">
        <v>2400</v>
      </c>
      <c r="L2" s="5">
        <v>2210</v>
      </c>
      <c r="M2" s="5">
        <v>2170</v>
      </c>
      <c r="N2" s="5">
        <v>1770</v>
      </c>
      <c r="O2" s="5">
        <v>1170</v>
      </c>
      <c r="P2" s="5">
        <v>800</v>
      </c>
      <c r="Q2" s="5">
        <v>440</v>
      </c>
      <c r="R2" s="5">
        <v>260</v>
      </c>
      <c r="S2" s="5">
        <v>140</v>
      </c>
      <c r="T2" s="37">
        <v>60</v>
      </c>
    </row>
    <row r="3" spans="1:20" x14ac:dyDescent="0.2">
      <c r="A3" s="9" t="s">
        <v>1</v>
      </c>
      <c r="B3" s="6" t="s">
        <v>0</v>
      </c>
      <c r="C3" s="5">
        <v>19080</v>
      </c>
      <c r="D3" s="38">
        <v>2690.9867615326298</v>
      </c>
      <c r="E3" s="38">
        <v>2310.9570187204758</v>
      </c>
      <c r="F3" s="38">
        <v>2328.0562197468948</v>
      </c>
      <c r="G3" s="5">
        <v>2220</v>
      </c>
      <c r="H3" s="5">
        <v>1720</v>
      </c>
      <c r="I3" s="5">
        <v>1170</v>
      </c>
      <c r="J3" s="5">
        <v>1140</v>
      </c>
      <c r="K3" s="5">
        <v>1230</v>
      </c>
      <c r="L3" s="5">
        <v>1040</v>
      </c>
      <c r="M3" s="5">
        <v>1060</v>
      </c>
      <c r="N3" s="5">
        <v>870</v>
      </c>
      <c r="O3" s="5">
        <v>530</v>
      </c>
      <c r="P3" s="5">
        <v>380</v>
      </c>
      <c r="Q3" s="5">
        <v>210</v>
      </c>
      <c r="R3" s="5">
        <v>110</v>
      </c>
      <c r="S3" s="5">
        <v>50</v>
      </c>
      <c r="T3" s="37">
        <v>20</v>
      </c>
    </row>
    <row r="4" spans="1:20" x14ac:dyDescent="0.2">
      <c r="A4" s="9" t="s">
        <v>1</v>
      </c>
      <c r="B4" s="6" t="s">
        <v>23</v>
      </c>
      <c r="C4" s="5">
        <v>19210</v>
      </c>
      <c r="D4" s="38">
        <v>2584.5966646077823</v>
      </c>
      <c r="E4" s="38">
        <v>2221.3489808523777</v>
      </c>
      <c r="F4" s="38">
        <v>2254.0543545398396</v>
      </c>
      <c r="G4" s="5">
        <v>2110</v>
      </c>
      <c r="H4" s="5">
        <v>1720</v>
      </c>
      <c r="I4" s="5">
        <v>1250</v>
      </c>
      <c r="J4" s="5">
        <v>1150</v>
      </c>
      <c r="K4" s="5">
        <v>1170</v>
      </c>
      <c r="L4" s="5">
        <v>1170</v>
      </c>
      <c r="M4" s="5">
        <v>1110</v>
      </c>
      <c r="N4" s="5">
        <v>900</v>
      </c>
      <c r="O4" s="5">
        <v>640</v>
      </c>
      <c r="P4" s="5">
        <v>420</v>
      </c>
      <c r="Q4" s="5">
        <v>230</v>
      </c>
      <c r="R4" s="5">
        <v>150</v>
      </c>
      <c r="S4" s="5">
        <v>90</v>
      </c>
      <c r="T4" s="37">
        <v>40</v>
      </c>
    </row>
    <row r="5" spans="1:20" ht="15" x14ac:dyDescent="0.2">
      <c r="A5" s="8" t="s">
        <v>2</v>
      </c>
      <c r="B5" s="6" t="s">
        <v>22</v>
      </c>
      <c r="C5" s="5">
        <v>63240</v>
      </c>
      <c r="D5" s="38">
        <v>9696.5877729781623</v>
      </c>
      <c r="E5" s="38">
        <v>8331.0835133189339</v>
      </c>
      <c r="F5" s="38">
        <v>8422.3287137029038</v>
      </c>
      <c r="G5" s="5">
        <v>4730</v>
      </c>
      <c r="H5" s="5">
        <v>4590</v>
      </c>
      <c r="I5" s="5">
        <v>4060</v>
      </c>
      <c r="J5" s="5">
        <v>3740</v>
      </c>
      <c r="K5" s="5">
        <v>3820</v>
      </c>
      <c r="L5" s="5">
        <v>3630</v>
      </c>
      <c r="M5" s="5">
        <v>3530</v>
      </c>
      <c r="N5" s="5">
        <v>3010</v>
      </c>
      <c r="O5" s="5">
        <v>2300</v>
      </c>
      <c r="P5" s="5">
        <v>1620</v>
      </c>
      <c r="Q5" s="5">
        <v>890</v>
      </c>
      <c r="R5" s="5">
        <v>520</v>
      </c>
      <c r="S5" s="5">
        <v>250</v>
      </c>
      <c r="T5" s="37">
        <v>100</v>
      </c>
    </row>
    <row r="6" spans="1:20" ht="15" x14ac:dyDescent="0.2">
      <c r="A6" s="8" t="s">
        <v>2</v>
      </c>
      <c r="B6" s="6" t="s">
        <v>0</v>
      </c>
      <c r="C6" s="5">
        <v>31220</v>
      </c>
      <c r="D6" s="38">
        <v>4996.4979296669972</v>
      </c>
      <c r="E6" s="38">
        <v>4290.8765381699423</v>
      </c>
      <c r="F6" s="38">
        <v>4322.6255321630606</v>
      </c>
      <c r="G6" s="5">
        <v>2350</v>
      </c>
      <c r="H6" s="5">
        <v>2230</v>
      </c>
      <c r="I6" s="5">
        <v>1970</v>
      </c>
      <c r="J6" s="5">
        <v>1810</v>
      </c>
      <c r="K6" s="5">
        <v>1840</v>
      </c>
      <c r="L6" s="5">
        <v>1770</v>
      </c>
      <c r="M6" s="5">
        <v>1640</v>
      </c>
      <c r="N6" s="5">
        <v>1410</v>
      </c>
      <c r="O6" s="5">
        <v>1050</v>
      </c>
      <c r="P6" s="5">
        <v>780</v>
      </c>
      <c r="Q6" s="5">
        <v>410</v>
      </c>
      <c r="R6" s="5">
        <v>220</v>
      </c>
      <c r="S6" s="5">
        <v>100</v>
      </c>
      <c r="T6" s="37">
        <v>30</v>
      </c>
    </row>
    <row r="7" spans="1:20" ht="15" x14ac:dyDescent="0.2">
      <c r="A7" s="8" t="s">
        <v>2</v>
      </c>
      <c r="B7" s="6" t="s">
        <v>23</v>
      </c>
      <c r="C7" s="5">
        <v>32020</v>
      </c>
      <c r="D7" s="38">
        <v>4700.5978999382332</v>
      </c>
      <c r="E7" s="38">
        <v>4039.9604694255709</v>
      </c>
      <c r="F7" s="38">
        <v>4099.4416306361954</v>
      </c>
      <c r="G7" s="5">
        <v>2380</v>
      </c>
      <c r="H7" s="5">
        <v>2360</v>
      </c>
      <c r="I7" s="5">
        <v>2090</v>
      </c>
      <c r="J7" s="5">
        <v>1930</v>
      </c>
      <c r="K7" s="5">
        <v>1980</v>
      </c>
      <c r="L7" s="5">
        <v>1860</v>
      </c>
      <c r="M7" s="5">
        <v>1890</v>
      </c>
      <c r="N7" s="5">
        <v>1600</v>
      </c>
      <c r="O7" s="5">
        <v>1250</v>
      </c>
      <c r="P7" s="5">
        <v>840</v>
      </c>
      <c r="Q7" s="5">
        <v>480</v>
      </c>
      <c r="R7" s="5">
        <v>300</v>
      </c>
      <c r="S7" s="5">
        <v>150</v>
      </c>
      <c r="T7" s="37">
        <v>70</v>
      </c>
    </row>
    <row r="8" spans="1:20" x14ac:dyDescent="0.2">
      <c r="A8" s="9" t="s">
        <v>3</v>
      </c>
      <c r="B8" s="6" t="s">
        <v>22</v>
      </c>
      <c r="C8" s="5">
        <v>53560</v>
      </c>
      <c r="D8" s="39">
        <v>8442.8134749220062</v>
      </c>
      <c r="E8" s="39">
        <v>7253.8696904247654</v>
      </c>
      <c r="F8" s="39">
        <v>7333.3168346532284</v>
      </c>
      <c r="G8" s="14">
        <v>5130</v>
      </c>
      <c r="H8" s="14">
        <v>4540</v>
      </c>
      <c r="I8" s="14">
        <v>3370</v>
      </c>
      <c r="J8" s="14">
        <v>3200</v>
      </c>
      <c r="K8" s="14">
        <v>3140</v>
      </c>
      <c r="L8" s="14">
        <v>3230</v>
      </c>
      <c r="M8" s="14">
        <v>2540</v>
      </c>
      <c r="N8" s="14">
        <v>2040</v>
      </c>
      <c r="O8" s="14">
        <v>1370</v>
      </c>
      <c r="P8" s="14">
        <v>950</v>
      </c>
      <c r="Q8" s="14">
        <v>540</v>
      </c>
      <c r="R8" s="14">
        <v>290</v>
      </c>
      <c r="S8" s="14">
        <v>130</v>
      </c>
      <c r="T8" s="37">
        <v>60</v>
      </c>
    </row>
    <row r="9" spans="1:20" x14ac:dyDescent="0.2">
      <c r="A9" s="9" t="s">
        <v>3</v>
      </c>
      <c r="B9" s="6" t="s">
        <v>0</v>
      </c>
      <c r="C9" s="5">
        <v>27620</v>
      </c>
      <c r="D9" s="39">
        <v>4390.7505686125851</v>
      </c>
      <c r="E9" s="39">
        <v>3770.6747536012131</v>
      </c>
      <c r="F9" s="39">
        <v>3798.5746777862018</v>
      </c>
      <c r="G9" s="14">
        <v>2670</v>
      </c>
      <c r="H9" s="14">
        <v>2340</v>
      </c>
      <c r="I9" s="14">
        <v>1730</v>
      </c>
      <c r="J9" s="14">
        <v>1610</v>
      </c>
      <c r="K9" s="14">
        <v>1570</v>
      </c>
      <c r="L9" s="14">
        <v>1670</v>
      </c>
      <c r="M9" s="14">
        <v>1280</v>
      </c>
      <c r="N9" s="14">
        <v>1060</v>
      </c>
      <c r="O9" s="14">
        <v>730</v>
      </c>
      <c r="P9" s="14">
        <v>500</v>
      </c>
      <c r="Q9" s="14">
        <v>290</v>
      </c>
      <c r="R9" s="14">
        <v>130</v>
      </c>
      <c r="S9" s="14">
        <v>60</v>
      </c>
      <c r="T9" s="37">
        <v>20</v>
      </c>
    </row>
    <row r="10" spans="1:20" x14ac:dyDescent="0.2">
      <c r="A10" s="9" t="s">
        <v>3</v>
      </c>
      <c r="B10" s="6" t="s">
        <v>23</v>
      </c>
      <c r="C10" s="5">
        <v>25940</v>
      </c>
      <c r="D10" s="39">
        <v>4052.6182828906731</v>
      </c>
      <c r="E10" s="39">
        <v>3483.0500308832611</v>
      </c>
      <c r="F10" s="39">
        <v>3534.3316862260654</v>
      </c>
      <c r="G10" s="14">
        <v>2460</v>
      </c>
      <c r="H10" s="14">
        <v>2200</v>
      </c>
      <c r="I10" s="14">
        <v>1640</v>
      </c>
      <c r="J10" s="14">
        <v>1590</v>
      </c>
      <c r="K10" s="14">
        <v>1570</v>
      </c>
      <c r="L10" s="14">
        <v>1560</v>
      </c>
      <c r="M10" s="14">
        <v>1260</v>
      </c>
      <c r="N10" s="14">
        <v>980</v>
      </c>
      <c r="O10" s="14">
        <v>640</v>
      </c>
      <c r="P10" s="14">
        <v>450</v>
      </c>
      <c r="Q10" s="14">
        <v>250</v>
      </c>
      <c r="R10" s="14">
        <v>160</v>
      </c>
      <c r="S10" s="14">
        <v>70</v>
      </c>
      <c r="T10" s="37">
        <v>40</v>
      </c>
    </row>
    <row r="11" spans="1:20" x14ac:dyDescent="0.2">
      <c r="A11" s="9" t="s">
        <v>4</v>
      </c>
      <c r="B11" s="6" t="s">
        <v>22</v>
      </c>
      <c r="C11" s="5">
        <v>35840</v>
      </c>
      <c r="D11" s="40">
        <v>5425.689944804416</v>
      </c>
      <c r="E11" s="40">
        <v>4661.6270698344133</v>
      </c>
      <c r="F11" s="40">
        <v>4712.6829853611716</v>
      </c>
      <c r="G11" s="15">
        <v>3920</v>
      </c>
      <c r="H11" s="15">
        <v>3110</v>
      </c>
      <c r="I11" s="15">
        <v>2160</v>
      </c>
      <c r="J11" s="15">
        <v>2160</v>
      </c>
      <c r="K11" s="15">
        <v>2230</v>
      </c>
      <c r="L11" s="15">
        <v>2100</v>
      </c>
      <c r="M11" s="15">
        <v>1860</v>
      </c>
      <c r="N11" s="15">
        <v>1350</v>
      </c>
      <c r="O11" s="15">
        <v>930</v>
      </c>
      <c r="P11" s="15">
        <v>580</v>
      </c>
      <c r="Q11" s="15">
        <v>340</v>
      </c>
      <c r="R11" s="15">
        <v>190</v>
      </c>
      <c r="S11" s="15">
        <v>80</v>
      </c>
      <c r="T11" s="37">
        <v>30</v>
      </c>
    </row>
    <row r="12" spans="1:20" x14ac:dyDescent="0.2">
      <c r="A12" s="9" t="s">
        <v>4</v>
      </c>
      <c r="B12" s="6" t="s">
        <v>0</v>
      </c>
      <c r="C12" s="5">
        <v>17550</v>
      </c>
      <c r="D12" s="40">
        <v>2724.0275266810522</v>
      </c>
      <c r="E12" s="40">
        <v>2339.3316615151339</v>
      </c>
      <c r="F12" s="40">
        <v>2356.6408118038144</v>
      </c>
      <c r="G12" s="15">
        <v>1960</v>
      </c>
      <c r="H12" s="15">
        <v>1560</v>
      </c>
      <c r="I12" s="15">
        <v>1020</v>
      </c>
      <c r="J12" s="15">
        <v>1020</v>
      </c>
      <c r="K12" s="15">
        <v>1060</v>
      </c>
      <c r="L12" s="15">
        <v>1020</v>
      </c>
      <c r="M12" s="15">
        <v>900</v>
      </c>
      <c r="N12" s="15">
        <v>600</v>
      </c>
      <c r="O12" s="15">
        <v>450</v>
      </c>
      <c r="P12" s="15">
        <v>270</v>
      </c>
      <c r="Q12" s="15">
        <v>150</v>
      </c>
      <c r="R12" s="15">
        <v>80</v>
      </c>
      <c r="S12" s="15">
        <v>30</v>
      </c>
      <c r="T12" s="37">
        <v>10</v>
      </c>
    </row>
    <row r="13" spans="1:20" x14ac:dyDescent="0.2">
      <c r="A13" s="9" t="s">
        <v>4</v>
      </c>
      <c r="B13" s="6" t="s">
        <v>23</v>
      </c>
      <c r="C13" s="5">
        <v>18290</v>
      </c>
      <c r="D13" s="40">
        <v>2701.7455219271155</v>
      </c>
      <c r="E13" s="40">
        <v>2322.0333539221738</v>
      </c>
      <c r="F13" s="40">
        <v>2356.2211241507102</v>
      </c>
      <c r="G13" s="15">
        <v>1960</v>
      </c>
      <c r="H13" s="15">
        <v>1550</v>
      </c>
      <c r="I13" s="15">
        <v>1140</v>
      </c>
      <c r="J13" s="15">
        <v>1140</v>
      </c>
      <c r="K13" s="15">
        <v>1170</v>
      </c>
      <c r="L13" s="15">
        <v>1080</v>
      </c>
      <c r="M13" s="15">
        <v>960</v>
      </c>
      <c r="N13" s="15">
        <v>750</v>
      </c>
      <c r="O13" s="15">
        <v>480</v>
      </c>
      <c r="P13" s="15">
        <v>310</v>
      </c>
      <c r="Q13" s="15">
        <v>190</v>
      </c>
      <c r="R13" s="15">
        <v>110</v>
      </c>
      <c r="S13" s="15">
        <v>50</v>
      </c>
      <c r="T13" s="37">
        <v>20</v>
      </c>
    </row>
    <row r="14" spans="1:20" x14ac:dyDescent="0.2">
      <c r="A14" s="9" t="s">
        <v>5</v>
      </c>
      <c r="B14" s="6" t="s">
        <v>22</v>
      </c>
      <c r="C14" s="5">
        <v>89250</v>
      </c>
      <c r="D14" s="38">
        <v>14521.052615790737</v>
      </c>
      <c r="E14" s="38">
        <v>12476.151907847372</v>
      </c>
      <c r="F14" s="38">
        <v>12612.795476361893</v>
      </c>
      <c r="G14" s="5">
        <v>8240</v>
      </c>
      <c r="H14" s="5">
        <v>7240</v>
      </c>
      <c r="I14" s="5">
        <v>5410</v>
      </c>
      <c r="J14" s="5">
        <v>5040</v>
      </c>
      <c r="K14" s="5">
        <v>5160</v>
      </c>
      <c r="L14" s="5">
        <v>5220</v>
      </c>
      <c r="M14" s="5">
        <v>4550</v>
      </c>
      <c r="N14" s="5">
        <v>3380</v>
      </c>
      <c r="O14" s="5">
        <v>2330</v>
      </c>
      <c r="P14" s="5">
        <v>1470</v>
      </c>
      <c r="Q14" s="5">
        <v>840</v>
      </c>
      <c r="R14" s="5">
        <v>510</v>
      </c>
      <c r="S14" s="5">
        <v>170</v>
      </c>
      <c r="T14" s="37">
        <v>80</v>
      </c>
    </row>
    <row r="15" spans="1:20" x14ac:dyDescent="0.2">
      <c r="A15" s="9" t="s">
        <v>5</v>
      </c>
      <c r="B15" s="6" t="s">
        <v>0</v>
      </c>
      <c r="C15" s="5">
        <v>43480</v>
      </c>
      <c r="D15" s="38">
        <v>7500.2536886918997</v>
      </c>
      <c r="E15" s="38">
        <v>6441.0439143873564</v>
      </c>
      <c r="F15" s="38">
        <v>6488.7023969207448</v>
      </c>
      <c r="G15" s="5">
        <v>3870</v>
      </c>
      <c r="H15" s="5">
        <v>3360</v>
      </c>
      <c r="I15" s="5">
        <v>2500</v>
      </c>
      <c r="J15" s="5">
        <v>2320</v>
      </c>
      <c r="K15" s="5">
        <v>2420</v>
      </c>
      <c r="L15" s="5">
        <v>2450</v>
      </c>
      <c r="M15" s="5">
        <v>2130</v>
      </c>
      <c r="N15" s="5">
        <v>1620</v>
      </c>
      <c r="O15" s="5">
        <v>1040</v>
      </c>
      <c r="P15" s="5">
        <v>670</v>
      </c>
      <c r="Q15" s="5">
        <v>370</v>
      </c>
      <c r="R15" s="5">
        <v>210</v>
      </c>
      <c r="S15" s="5">
        <v>60</v>
      </c>
      <c r="T15" s="37">
        <v>30</v>
      </c>
    </row>
    <row r="16" spans="1:20" x14ac:dyDescent="0.2">
      <c r="A16" s="9" t="s">
        <v>5</v>
      </c>
      <c r="B16" s="6" t="s">
        <v>23</v>
      </c>
      <c r="C16" s="5">
        <v>45770</v>
      </c>
      <c r="D16" s="38">
        <v>7021.6096355775162</v>
      </c>
      <c r="E16" s="38">
        <v>6034.7696108709079</v>
      </c>
      <c r="F16" s="38">
        <v>6123.620753551575</v>
      </c>
      <c r="G16" s="5">
        <v>4370</v>
      </c>
      <c r="H16" s="5">
        <v>3880</v>
      </c>
      <c r="I16" s="5">
        <v>2910</v>
      </c>
      <c r="J16" s="5">
        <v>2720</v>
      </c>
      <c r="K16" s="5">
        <v>2740</v>
      </c>
      <c r="L16" s="5">
        <v>2770</v>
      </c>
      <c r="M16" s="5">
        <v>2420</v>
      </c>
      <c r="N16" s="5">
        <v>1760</v>
      </c>
      <c r="O16" s="5">
        <v>1290</v>
      </c>
      <c r="P16" s="5">
        <v>800</v>
      </c>
      <c r="Q16" s="5">
        <v>470</v>
      </c>
      <c r="R16" s="5">
        <v>300</v>
      </c>
      <c r="S16" s="5">
        <v>110</v>
      </c>
      <c r="T16" s="37">
        <v>50</v>
      </c>
    </row>
    <row r="17" spans="1:20" x14ac:dyDescent="0.2">
      <c r="A17" s="12" t="s">
        <v>6</v>
      </c>
      <c r="B17" s="6" t="s">
        <v>22</v>
      </c>
      <c r="C17" s="5">
        <v>45860</v>
      </c>
      <c r="D17" s="38">
        <v>7123.0510559155264</v>
      </c>
      <c r="E17" s="38">
        <v>6119.9604031677463</v>
      </c>
      <c r="F17" s="38">
        <v>6186.9885409167273</v>
      </c>
      <c r="G17" s="5">
        <v>3730</v>
      </c>
      <c r="H17" s="5">
        <v>3410</v>
      </c>
      <c r="I17" s="5">
        <v>2710</v>
      </c>
      <c r="J17" s="5">
        <v>2680</v>
      </c>
      <c r="K17" s="5">
        <v>2820</v>
      </c>
      <c r="L17" s="5">
        <v>2630</v>
      </c>
      <c r="M17" s="5">
        <v>2540</v>
      </c>
      <c r="N17" s="5">
        <v>2160</v>
      </c>
      <c r="O17" s="5">
        <v>1590</v>
      </c>
      <c r="P17" s="5">
        <v>1080</v>
      </c>
      <c r="Q17" s="5">
        <v>570</v>
      </c>
      <c r="R17" s="5">
        <v>320</v>
      </c>
      <c r="S17" s="5">
        <v>150</v>
      </c>
      <c r="T17" s="37">
        <v>40</v>
      </c>
    </row>
    <row r="18" spans="1:20" x14ac:dyDescent="0.2">
      <c r="A18" s="9" t="s">
        <v>6</v>
      </c>
      <c r="B18" s="6" t="s">
        <v>0</v>
      </c>
      <c r="C18" s="5">
        <v>22100</v>
      </c>
      <c r="D18" s="38">
        <v>3564.7314399020238</v>
      </c>
      <c r="E18" s="38">
        <v>3061.3086837347641</v>
      </c>
      <c r="F18" s="38">
        <v>3083.9598763632125</v>
      </c>
      <c r="G18" s="5">
        <v>1860</v>
      </c>
      <c r="H18" s="5">
        <v>1570</v>
      </c>
      <c r="I18" s="5">
        <v>1310</v>
      </c>
      <c r="J18" s="5">
        <v>1240</v>
      </c>
      <c r="K18" s="5">
        <v>1300</v>
      </c>
      <c r="L18" s="5">
        <v>1230</v>
      </c>
      <c r="M18" s="5">
        <v>1190</v>
      </c>
      <c r="N18" s="5">
        <v>1000</v>
      </c>
      <c r="O18" s="5">
        <v>750</v>
      </c>
      <c r="P18" s="5">
        <v>500</v>
      </c>
      <c r="Q18" s="5">
        <v>240</v>
      </c>
      <c r="R18" s="5">
        <v>140</v>
      </c>
      <c r="S18" s="5">
        <v>50</v>
      </c>
      <c r="T18" s="37">
        <v>10</v>
      </c>
    </row>
    <row r="19" spans="1:20" x14ac:dyDescent="0.2">
      <c r="A19" s="9" t="s">
        <v>6</v>
      </c>
      <c r="B19" s="6" t="s">
        <v>23</v>
      </c>
      <c r="C19" s="5">
        <v>23760</v>
      </c>
      <c r="D19" s="38">
        <v>3558.3965410747373</v>
      </c>
      <c r="E19" s="38">
        <v>3058.2878319950582</v>
      </c>
      <c r="F19" s="38">
        <v>3103.3156269302035</v>
      </c>
      <c r="G19" s="5">
        <v>1870</v>
      </c>
      <c r="H19" s="5">
        <v>1840</v>
      </c>
      <c r="I19" s="5">
        <v>1400</v>
      </c>
      <c r="J19" s="5">
        <v>1440</v>
      </c>
      <c r="K19" s="5">
        <v>1520</v>
      </c>
      <c r="L19" s="5">
        <v>1400</v>
      </c>
      <c r="M19" s="5">
        <v>1350</v>
      </c>
      <c r="N19" s="5">
        <v>1160</v>
      </c>
      <c r="O19" s="5">
        <v>840</v>
      </c>
      <c r="P19" s="5">
        <v>580</v>
      </c>
      <c r="Q19" s="5">
        <v>330</v>
      </c>
      <c r="R19" s="5">
        <v>180</v>
      </c>
      <c r="S19" s="5">
        <v>100</v>
      </c>
      <c r="T19" s="37">
        <v>30</v>
      </c>
    </row>
    <row r="20" spans="1:20" x14ac:dyDescent="0.2">
      <c r="A20" s="9" t="s">
        <v>7</v>
      </c>
      <c r="B20" s="6" t="s">
        <v>22</v>
      </c>
      <c r="C20" s="5">
        <v>26250</v>
      </c>
      <c r="D20" s="38">
        <v>3984.9493040556754</v>
      </c>
      <c r="E20" s="38">
        <v>3423.7760979121667</v>
      </c>
      <c r="F20" s="38">
        <v>3461.2745980321579</v>
      </c>
      <c r="G20" s="5">
        <v>2270</v>
      </c>
      <c r="H20" s="5">
        <v>2310</v>
      </c>
      <c r="I20" s="5">
        <v>1740</v>
      </c>
      <c r="J20" s="5">
        <v>1740</v>
      </c>
      <c r="K20" s="5">
        <v>1640</v>
      </c>
      <c r="L20" s="5">
        <v>1520</v>
      </c>
      <c r="M20" s="5">
        <v>1350</v>
      </c>
      <c r="N20" s="5">
        <v>1190</v>
      </c>
      <c r="O20" s="5">
        <v>720</v>
      </c>
      <c r="P20" s="5">
        <v>460</v>
      </c>
      <c r="Q20" s="5">
        <v>250</v>
      </c>
      <c r="R20" s="5">
        <v>100</v>
      </c>
      <c r="S20" s="5">
        <v>60</v>
      </c>
      <c r="T20" s="37">
        <v>30</v>
      </c>
    </row>
    <row r="21" spans="1:20" x14ac:dyDescent="0.2">
      <c r="A21" s="9" t="s">
        <v>7</v>
      </c>
      <c r="B21" s="6" t="s">
        <v>0</v>
      </c>
      <c r="C21" s="5">
        <v>13270</v>
      </c>
      <c r="D21" s="38">
        <v>2059.5410275850004</v>
      </c>
      <c r="E21" s="38">
        <v>1768.6860675336795</v>
      </c>
      <c r="F21" s="38">
        <v>1781.7729048813205</v>
      </c>
      <c r="G21" s="5">
        <v>1180</v>
      </c>
      <c r="H21" s="5">
        <v>1190</v>
      </c>
      <c r="I21" s="5">
        <v>820</v>
      </c>
      <c r="J21" s="5">
        <v>880</v>
      </c>
      <c r="K21" s="5">
        <v>830</v>
      </c>
      <c r="L21" s="5">
        <v>740</v>
      </c>
      <c r="M21" s="5">
        <v>660</v>
      </c>
      <c r="N21" s="5">
        <v>580</v>
      </c>
      <c r="O21" s="5">
        <v>340</v>
      </c>
      <c r="P21" s="5">
        <v>230</v>
      </c>
      <c r="Q21" s="5">
        <v>130</v>
      </c>
      <c r="R21" s="5">
        <v>40</v>
      </c>
      <c r="S21" s="5">
        <v>30</v>
      </c>
      <c r="T21" s="37">
        <v>10</v>
      </c>
    </row>
    <row r="22" spans="1:20" x14ac:dyDescent="0.2">
      <c r="A22" s="9" t="s">
        <v>7</v>
      </c>
      <c r="B22" s="6" t="s">
        <v>23</v>
      </c>
      <c r="C22" s="5">
        <v>12980</v>
      </c>
      <c r="D22" s="38">
        <v>1925.6343421865347</v>
      </c>
      <c r="E22" s="38">
        <v>1654.9993823347745</v>
      </c>
      <c r="F22" s="38">
        <v>1679.3662754786906</v>
      </c>
      <c r="G22" s="5">
        <v>1090</v>
      </c>
      <c r="H22" s="5">
        <v>1120</v>
      </c>
      <c r="I22" s="5">
        <v>920</v>
      </c>
      <c r="J22" s="5">
        <v>860</v>
      </c>
      <c r="K22" s="5">
        <v>810</v>
      </c>
      <c r="L22" s="5">
        <v>780</v>
      </c>
      <c r="M22" s="5">
        <v>690</v>
      </c>
      <c r="N22" s="5">
        <v>610</v>
      </c>
      <c r="O22" s="5">
        <v>380</v>
      </c>
      <c r="P22" s="5">
        <v>230</v>
      </c>
      <c r="Q22" s="5">
        <v>120</v>
      </c>
      <c r="R22" s="5">
        <v>60</v>
      </c>
      <c r="S22" s="5">
        <v>30</v>
      </c>
      <c r="T22" s="37">
        <v>20</v>
      </c>
    </row>
    <row r="23" spans="1:20" x14ac:dyDescent="0.2">
      <c r="A23" s="9" t="s">
        <v>8</v>
      </c>
      <c r="B23" s="6" t="s">
        <v>22</v>
      </c>
      <c r="C23" s="5">
        <v>40740</v>
      </c>
      <c r="D23" s="38">
        <v>6078.2391408687308</v>
      </c>
      <c r="E23" s="38">
        <v>5222.2822174226058</v>
      </c>
      <c r="F23" s="38">
        <v>5279.4786417086634</v>
      </c>
      <c r="G23" s="5">
        <v>3120</v>
      </c>
      <c r="H23" s="5">
        <v>3150</v>
      </c>
      <c r="I23" s="5">
        <v>2640</v>
      </c>
      <c r="J23" s="5">
        <v>2520</v>
      </c>
      <c r="K23" s="5">
        <v>2590</v>
      </c>
      <c r="L23" s="5">
        <v>2540</v>
      </c>
      <c r="M23" s="5">
        <v>2330</v>
      </c>
      <c r="N23" s="5">
        <v>2000</v>
      </c>
      <c r="O23" s="5">
        <v>1320</v>
      </c>
      <c r="P23" s="5">
        <v>930</v>
      </c>
      <c r="Q23" s="5">
        <v>540</v>
      </c>
      <c r="R23" s="5">
        <v>300</v>
      </c>
      <c r="S23" s="5">
        <v>140</v>
      </c>
      <c r="T23" s="37">
        <v>40</v>
      </c>
    </row>
    <row r="24" spans="1:20" x14ac:dyDescent="0.2">
      <c r="A24" s="9" t="s">
        <v>8</v>
      </c>
      <c r="B24" s="6" t="s">
        <v>0</v>
      </c>
      <c r="C24" s="5">
        <v>19880</v>
      </c>
      <c r="D24" s="38">
        <v>3142.5438852277366</v>
      </c>
      <c r="E24" s="38">
        <v>2698.7438035808013</v>
      </c>
      <c r="F24" s="38">
        <v>2718.712311191462</v>
      </c>
      <c r="G24" s="5">
        <v>1570</v>
      </c>
      <c r="H24" s="5">
        <v>1490</v>
      </c>
      <c r="I24" s="5">
        <v>1210</v>
      </c>
      <c r="J24" s="5">
        <v>1160</v>
      </c>
      <c r="K24" s="5">
        <v>1260</v>
      </c>
      <c r="L24" s="5">
        <v>1190</v>
      </c>
      <c r="M24" s="5">
        <v>1090</v>
      </c>
      <c r="N24" s="5">
        <v>910</v>
      </c>
      <c r="O24" s="5">
        <v>590</v>
      </c>
      <c r="P24" s="5">
        <v>430</v>
      </c>
      <c r="Q24" s="5">
        <v>240</v>
      </c>
      <c r="R24" s="5">
        <v>110</v>
      </c>
      <c r="S24" s="5">
        <v>60</v>
      </c>
      <c r="T24" s="37">
        <v>10</v>
      </c>
    </row>
    <row r="25" spans="1:20" x14ac:dyDescent="0.2">
      <c r="A25" s="9" t="s">
        <v>8</v>
      </c>
      <c r="B25" s="6" t="s">
        <v>23</v>
      </c>
      <c r="C25" s="5">
        <v>20860</v>
      </c>
      <c r="D25" s="38">
        <v>2936.0432365657812</v>
      </c>
      <c r="E25" s="38">
        <v>2523.4021000617663</v>
      </c>
      <c r="F25" s="38">
        <v>2560.5546633724521</v>
      </c>
      <c r="G25" s="5">
        <v>1550</v>
      </c>
      <c r="H25" s="5">
        <v>1660</v>
      </c>
      <c r="I25" s="5">
        <v>1430</v>
      </c>
      <c r="J25" s="5">
        <v>1360</v>
      </c>
      <c r="K25" s="5">
        <v>1330</v>
      </c>
      <c r="L25" s="5">
        <v>1350</v>
      </c>
      <c r="M25" s="5">
        <v>1240</v>
      </c>
      <c r="N25" s="5">
        <v>1090</v>
      </c>
      <c r="O25" s="5">
        <v>730</v>
      </c>
      <c r="P25" s="5">
        <v>500</v>
      </c>
      <c r="Q25" s="5">
        <v>300</v>
      </c>
      <c r="R25" s="5">
        <v>190</v>
      </c>
      <c r="S25" s="5">
        <v>80</v>
      </c>
      <c r="T25" s="37">
        <v>30</v>
      </c>
    </row>
    <row r="26" spans="1:20" x14ac:dyDescent="0.2">
      <c r="A26" s="9" t="s">
        <v>9</v>
      </c>
      <c r="B26" s="6" t="s">
        <v>22</v>
      </c>
      <c r="C26" s="5">
        <v>36760</v>
      </c>
      <c r="D26" s="38">
        <v>5946.2628989680825</v>
      </c>
      <c r="E26" s="38">
        <v>5108.8912886969038</v>
      </c>
      <c r="F26" s="38">
        <v>5164.8458123350138</v>
      </c>
      <c r="G26" s="5">
        <v>3180</v>
      </c>
      <c r="H26" s="5">
        <v>2900</v>
      </c>
      <c r="I26" s="5">
        <v>2260</v>
      </c>
      <c r="J26" s="5">
        <v>2100</v>
      </c>
      <c r="K26" s="5">
        <v>2110</v>
      </c>
      <c r="L26" s="5">
        <v>2010</v>
      </c>
      <c r="M26" s="5">
        <v>1870</v>
      </c>
      <c r="N26" s="5">
        <v>1430</v>
      </c>
      <c r="O26" s="5">
        <v>1070</v>
      </c>
      <c r="P26" s="5">
        <v>780</v>
      </c>
      <c r="Q26" s="5">
        <v>430</v>
      </c>
      <c r="R26" s="5">
        <v>250</v>
      </c>
      <c r="S26" s="5">
        <v>100</v>
      </c>
      <c r="T26" s="37">
        <v>50</v>
      </c>
    </row>
    <row r="27" spans="1:20" x14ac:dyDescent="0.2">
      <c r="A27" s="9" t="s">
        <v>9</v>
      </c>
      <c r="B27" s="6" t="s">
        <v>0</v>
      </c>
      <c r="C27" s="5">
        <v>18260</v>
      </c>
      <c r="D27" s="38">
        <v>3069.119962675687</v>
      </c>
      <c r="E27" s="38">
        <v>2635.6890418148951</v>
      </c>
      <c r="F27" s="38">
        <v>2655.1909955094188</v>
      </c>
      <c r="G27" s="5">
        <v>1670</v>
      </c>
      <c r="H27" s="5">
        <v>1400</v>
      </c>
      <c r="I27" s="5">
        <v>1060</v>
      </c>
      <c r="J27" s="5">
        <v>1000</v>
      </c>
      <c r="K27" s="5">
        <v>990</v>
      </c>
      <c r="L27" s="5">
        <v>960</v>
      </c>
      <c r="M27" s="5">
        <v>870</v>
      </c>
      <c r="N27" s="5">
        <v>730</v>
      </c>
      <c r="O27" s="5">
        <v>490</v>
      </c>
      <c r="P27" s="5">
        <v>360</v>
      </c>
      <c r="Q27" s="5">
        <v>200</v>
      </c>
      <c r="R27" s="5">
        <v>110</v>
      </c>
      <c r="S27" s="5">
        <v>40</v>
      </c>
      <c r="T27" s="37">
        <v>20</v>
      </c>
    </row>
    <row r="28" spans="1:20" x14ac:dyDescent="0.2">
      <c r="A28" s="9" t="s">
        <v>9</v>
      </c>
      <c r="B28" s="6" t="s">
        <v>23</v>
      </c>
      <c r="C28" s="5">
        <v>18500</v>
      </c>
      <c r="D28" s="38">
        <v>2877.4688079061148</v>
      </c>
      <c r="E28" s="38">
        <v>2473.0599135268681</v>
      </c>
      <c r="F28" s="38">
        <v>2509.4712785670167</v>
      </c>
      <c r="G28" s="5">
        <v>1510</v>
      </c>
      <c r="H28" s="5">
        <v>1500</v>
      </c>
      <c r="I28" s="5">
        <v>1200</v>
      </c>
      <c r="J28" s="5">
        <v>1100</v>
      </c>
      <c r="K28" s="5">
        <v>1120</v>
      </c>
      <c r="L28" s="5">
        <v>1050</v>
      </c>
      <c r="M28" s="5">
        <v>1000</v>
      </c>
      <c r="N28" s="5">
        <v>700</v>
      </c>
      <c r="O28" s="5">
        <v>580</v>
      </c>
      <c r="P28" s="5">
        <v>420</v>
      </c>
      <c r="Q28" s="5">
        <v>230</v>
      </c>
      <c r="R28" s="5">
        <v>140</v>
      </c>
      <c r="S28" s="5">
        <v>60</v>
      </c>
      <c r="T28" s="37">
        <v>30</v>
      </c>
    </row>
    <row r="29" spans="1:20" x14ac:dyDescent="0.2">
      <c r="A29" s="9" t="s">
        <v>10</v>
      </c>
      <c r="B29" s="6" t="s">
        <v>22</v>
      </c>
      <c r="C29" s="5">
        <v>16790</v>
      </c>
      <c r="D29" s="38">
        <v>2602.8647708183344</v>
      </c>
      <c r="E29" s="38">
        <v>2236.321094312455</v>
      </c>
      <c r="F29" s="38">
        <v>2260.8141348692106</v>
      </c>
      <c r="G29" s="5">
        <v>1270</v>
      </c>
      <c r="H29" s="5">
        <v>1180</v>
      </c>
      <c r="I29" s="5">
        <v>1030</v>
      </c>
      <c r="J29" s="5">
        <v>950</v>
      </c>
      <c r="K29" s="5">
        <v>1060</v>
      </c>
      <c r="L29" s="5">
        <v>1060</v>
      </c>
      <c r="M29" s="5">
        <v>970</v>
      </c>
      <c r="N29" s="5">
        <v>800</v>
      </c>
      <c r="O29" s="5">
        <v>520</v>
      </c>
      <c r="P29" s="5">
        <v>380</v>
      </c>
      <c r="Q29" s="5">
        <v>250</v>
      </c>
      <c r="R29" s="5">
        <v>130</v>
      </c>
      <c r="S29" s="5">
        <v>60</v>
      </c>
      <c r="T29" s="37">
        <v>30</v>
      </c>
    </row>
    <row r="30" spans="1:20" x14ac:dyDescent="0.2">
      <c r="A30" s="9" t="s">
        <v>10</v>
      </c>
      <c r="B30" s="6" t="s">
        <v>0</v>
      </c>
      <c r="C30" s="5">
        <v>8490</v>
      </c>
      <c r="D30" s="38">
        <v>1354.6713710853212</v>
      </c>
      <c r="E30" s="38">
        <v>1163.3603545809763</v>
      </c>
      <c r="F30" s="38">
        <v>1171.9682743337028</v>
      </c>
      <c r="G30" s="5">
        <v>680</v>
      </c>
      <c r="H30" s="5">
        <v>580</v>
      </c>
      <c r="I30" s="5">
        <v>480</v>
      </c>
      <c r="J30" s="5">
        <v>480</v>
      </c>
      <c r="K30" s="5">
        <v>540</v>
      </c>
      <c r="L30" s="5">
        <v>520</v>
      </c>
      <c r="M30" s="5">
        <v>490</v>
      </c>
      <c r="N30" s="5">
        <v>380</v>
      </c>
      <c r="O30" s="5">
        <v>260</v>
      </c>
      <c r="P30" s="5">
        <v>170</v>
      </c>
      <c r="Q30" s="5">
        <v>120</v>
      </c>
      <c r="R30" s="5">
        <v>60</v>
      </c>
      <c r="S30" s="5">
        <v>30</v>
      </c>
      <c r="T30" s="37">
        <v>10</v>
      </c>
    </row>
    <row r="31" spans="1:20" x14ac:dyDescent="0.2">
      <c r="A31" s="9" t="s">
        <v>10</v>
      </c>
      <c r="B31" s="6" t="s">
        <v>23</v>
      </c>
      <c r="C31" s="5">
        <v>8300</v>
      </c>
      <c r="D31" s="38">
        <v>1248.3675108091413</v>
      </c>
      <c r="E31" s="38">
        <v>1072.9178505250154</v>
      </c>
      <c r="F31" s="38">
        <v>1088.714638665843</v>
      </c>
      <c r="G31" s="5">
        <v>590</v>
      </c>
      <c r="H31" s="5">
        <v>600</v>
      </c>
      <c r="I31" s="5">
        <v>550</v>
      </c>
      <c r="J31" s="5">
        <v>470</v>
      </c>
      <c r="K31" s="5">
        <v>520</v>
      </c>
      <c r="L31" s="5">
        <v>540</v>
      </c>
      <c r="M31" s="5">
        <v>480</v>
      </c>
      <c r="N31" s="5">
        <v>420</v>
      </c>
      <c r="O31" s="5">
        <v>260</v>
      </c>
      <c r="P31" s="5">
        <v>210</v>
      </c>
      <c r="Q31" s="5">
        <v>130</v>
      </c>
      <c r="R31" s="5">
        <v>70</v>
      </c>
      <c r="S31" s="5">
        <v>30</v>
      </c>
      <c r="T31" s="37">
        <v>20</v>
      </c>
    </row>
    <row r="32" spans="1:20" x14ac:dyDescent="0.2">
      <c r="A32" s="9" t="s">
        <v>11</v>
      </c>
      <c r="B32" s="6" t="s">
        <v>22</v>
      </c>
      <c r="C32" s="5">
        <v>65980</v>
      </c>
      <c r="D32" s="38">
        <v>9707.5857931365481</v>
      </c>
      <c r="E32" s="38">
        <v>8340.5327573794093</v>
      </c>
      <c r="F32" s="38">
        <v>8431.8814494840426</v>
      </c>
      <c r="G32" s="5">
        <v>4860</v>
      </c>
      <c r="H32" s="5">
        <v>4840</v>
      </c>
      <c r="I32" s="5">
        <v>4010</v>
      </c>
      <c r="J32" s="5">
        <v>3540</v>
      </c>
      <c r="K32" s="5">
        <v>4000</v>
      </c>
      <c r="L32" s="5">
        <v>4060</v>
      </c>
      <c r="M32" s="5">
        <v>4090</v>
      </c>
      <c r="N32" s="5">
        <v>3580</v>
      </c>
      <c r="O32" s="5">
        <v>2620</v>
      </c>
      <c r="P32" s="5">
        <v>1800</v>
      </c>
      <c r="Q32" s="5">
        <v>1100</v>
      </c>
      <c r="R32" s="5">
        <v>630</v>
      </c>
      <c r="S32" s="5">
        <v>270</v>
      </c>
      <c r="T32" s="37">
        <v>100</v>
      </c>
    </row>
    <row r="33" spans="1:20" x14ac:dyDescent="0.2">
      <c r="A33" s="9" t="s">
        <v>11</v>
      </c>
      <c r="B33" s="6" t="s">
        <v>0</v>
      </c>
      <c r="C33" s="5">
        <v>32530</v>
      </c>
      <c r="D33" s="38">
        <v>5018.5251064326121</v>
      </c>
      <c r="E33" s="38">
        <v>4309.7929666997143</v>
      </c>
      <c r="F33" s="38">
        <v>4341.6819268676736</v>
      </c>
      <c r="G33" s="5">
        <v>2470</v>
      </c>
      <c r="H33" s="5">
        <v>2340</v>
      </c>
      <c r="I33" s="5">
        <v>1960</v>
      </c>
      <c r="J33" s="5">
        <v>1680</v>
      </c>
      <c r="K33" s="5">
        <v>1940</v>
      </c>
      <c r="L33" s="5">
        <v>1960</v>
      </c>
      <c r="M33" s="5">
        <v>1960</v>
      </c>
      <c r="N33" s="5">
        <v>1650</v>
      </c>
      <c r="O33" s="5">
        <v>1200</v>
      </c>
      <c r="P33" s="5">
        <v>830</v>
      </c>
      <c r="Q33" s="5">
        <v>480</v>
      </c>
      <c r="R33" s="5">
        <v>260</v>
      </c>
      <c r="S33" s="5">
        <v>100</v>
      </c>
      <c r="T33" s="37">
        <v>30</v>
      </c>
    </row>
    <row r="34" spans="1:20" x14ac:dyDescent="0.2">
      <c r="A34" s="9" t="s">
        <v>11</v>
      </c>
      <c r="B34" s="6" t="s">
        <v>23</v>
      </c>
      <c r="C34" s="5">
        <v>33450</v>
      </c>
      <c r="D34" s="38">
        <v>4689.6151945645461</v>
      </c>
      <c r="E34" s="38">
        <v>4030.5213094502778</v>
      </c>
      <c r="F34" s="38">
        <v>4089.8634959851761</v>
      </c>
      <c r="G34" s="5">
        <v>2390</v>
      </c>
      <c r="H34" s="5">
        <v>2500</v>
      </c>
      <c r="I34" s="5">
        <v>2050</v>
      </c>
      <c r="J34" s="5">
        <v>1860</v>
      </c>
      <c r="K34" s="5">
        <v>2060</v>
      </c>
      <c r="L34" s="5">
        <v>2100</v>
      </c>
      <c r="M34" s="5">
        <v>2130</v>
      </c>
      <c r="N34" s="5">
        <v>1930</v>
      </c>
      <c r="O34" s="5">
        <v>1420</v>
      </c>
      <c r="P34" s="5">
        <v>970</v>
      </c>
      <c r="Q34" s="5">
        <v>620</v>
      </c>
      <c r="R34" s="5">
        <v>370</v>
      </c>
      <c r="S34" s="5">
        <v>170</v>
      </c>
      <c r="T34" s="37">
        <v>70</v>
      </c>
    </row>
    <row r="35" spans="1:20" x14ac:dyDescent="0.2">
      <c r="A35" s="9" t="s">
        <v>12</v>
      </c>
      <c r="B35" s="6" t="s">
        <v>22</v>
      </c>
      <c r="C35" s="5">
        <v>0</v>
      </c>
      <c r="D35" s="38"/>
      <c r="E35" s="38"/>
      <c r="F35" s="38"/>
      <c r="T35" s="37"/>
    </row>
    <row r="36" spans="1:20" x14ac:dyDescent="0.2">
      <c r="A36" s="9" t="s">
        <v>12</v>
      </c>
      <c r="B36" s="6" t="s">
        <v>0</v>
      </c>
      <c r="C36" s="5">
        <v>0</v>
      </c>
      <c r="D36" s="38"/>
      <c r="E36" s="38"/>
      <c r="F36" s="38"/>
      <c r="T36" s="37"/>
    </row>
    <row r="37" spans="1:20" x14ac:dyDescent="0.2">
      <c r="A37" s="9" t="s">
        <v>12</v>
      </c>
      <c r="B37" s="6" t="s">
        <v>23</v>
      </c>
      <c r="C37" s="5">
        <v>0</v>
      </c>
      <c r="D37" s="38"/>
      <c r="E37" s="38"/>
      <c r="F37" s="38"/>
      <c r="T37" s="37"/>
    </row>
    <row r="38" spans="1:20" x14ac:dyDescent="0.2">
      <c r="A38" s="9" t="s">
        <v>13</v>
      </c>
      <c r="B38" s="6" t="s">
        <v>22</v>
      </c>
      <c r="C38" s="5">
        <v>5260</v>
      </c>
      <c r="D38" s="38">
        <v>872.50959923206142</v>
      </c>
      <c r="E38" s="38">
        <v>749.64002879769612</v>
      </c>
      <c r="F38" s="38">
        <v>757.85037197024246</v>
      </c>
      <c r="G38" s="5">
        <v>380</v>
      </c>
      <c r="H38" s="5">
        <v>390</v>
      </c>
      <c r="I38" s="5">
        <v>300</v>
      </c>
      <c r="J38" s="5">
        <v>300</v>
      </c>
      <c r="K38" s="5">
        <v>320</v>
      </c>
      <c r="L38" s="5">
        <v>290</v>
      </c>
      <c r="M38" s="5">
        <v>280</v>
      </c>
      <c r="N38" s="5">
        <v>210</v>
      </c>
      <c r="O38" s="5">
        <v>170</v>
      </c>
      <c r="P38" s="5">
        <v>110</v>
      </c>
      <c r="Q38" s="5">
        <v>60</v>
      </c>
      <c r="R38" s="5">
        <v>40</v>
      </c>
      <c r="S38" s="5">
        <v>20</v>
      </c>
      <c r="T38" s="37">
        <v>10</v>
      </c>
    </row>
    <row r="39" spans="1:20" x14ac:dyDescent="0.2">
      <c r="A39" s="9" t="s">
        <v>13</v>
      </c>
      <c r="B39" s="6" t="s">
        <v>0</v>
      </c>
      <c r="C39" s="5">
        <v>2640</v>
      </c>
      <c r="D39" s="38">
        <v>447.88592756750455</v>
      </c>
      <c r="E39" s="38">
        <v>384.6340467720301</v>
      </c>
      <c r="F39" s="38">
        <v>387.4800256604654</v>
      </c>
      <c r="G39" s="5">
        <v>200</v>
      </c>
      <c r="H39" s="5">
        <v>200</v>
      </c>
      <c r="I39" s="5">
        <v>160</v>
      </c>
      <c r="J39" s="5">
        <v>140</v>
      </c>
      <c r="K39" s="5">
        <v>160</v>
      </c>
      <c r="L39" s="5">
        <v>140</v>
      </c>
      <c r="M39" s="5">
        <v>130</v>
      </c>
      <c r="N39" s="5">
        <v>100</v>
      </c>
      <c r="O39" s="5">
        <v>70</v>
      </c>
      <c r="P39" s="5">
        <v>60</v>
      </c>
      <c r="Q39" s="5">
        <v>30</v>
      </c>
      <c r="R39" s="5">
        <v>20</v>
      </c>
      <c r="S39" s="5">
        <v>10</v>
      </c>
      <c r="T39" s="37">
        <v>0</v>
      </c>
    </row>
    <row r="40" spans="1:20" x14ac:dyDescent="0.2">
      <c r="A40" s="9" t="s">
        <v>13</v>
      </c>
      <c r="B40" s="6" t="s">
        <v>23</v>
      </c>
      <c r="C40" s="5">
        <v>2620</v>
      </c>
      <c r="D40" s="38">
        <v>424.66460778258181</v>
      </c>
      <c r="E40" s="38">
        <v>364.98085237801109</v>
      </c>
      <c r="F40" s="38">
        <v>370.35453983940704</v>
      </c>
      <c r="G40" s="5">
        <v>180</v>
      </c>
      <c r="H40" s="5">
        <v>190</v>
      </c>
      <c r="I40" s="5">
        <v>140</v>
      </c>
      <c r="J40" s="5">
        <v>160</v>
      </c>
      <c r="K40" s="5">
        <v>160</v>
      </c>
      <c r="L40" s="5">
        <v>150</v>
      </c>
      <c r="M40" s="5">
        <v>150</v>
      </c>
      <c r="N40" s="5">
        <v>110</v>
      </c>
      <c r="O40" s="5">
        <v>100</v>
      </c>
      <c r="P40" s="5">
        <v>50</v>
      </c>
      <c r="Q40" s="5">
        <v>30</v>
      </c>
      <c r="R40" s="5">
        <v>20</v>
      </c>
      <c r="S40" s="5">
        <v>10</v>
      </c>
      <c r="T40" s="37">
        <v>10</v>
      </c>
    </row>
    <row r="41" spans="1:20" x14ac:dyDescent="0.2">
      <c r="A41" s="9" t="s">
        <v>14</v>
      </c>
      <c r="B41" s="6" t="s">
        <v>22</v>
      </c>
      <c r="C41" s="5">
        <v>35330</v>
      </c>
      <c r="D41" s="38">
        <v>5773.9605831533472</v>
      </c>
      <c r="E41" s="38">
        <v>4960.8531317494599</v>
      </c>
      <c r="F41" s="38">
        <v>5015.1862850971929</v>
      </c>
      <c r="G41" s="5">
        <v>3100</v>
      </c>
      <c r="H41" s="5">
        <v>2770</v>
      </c>
      <c r="I41" s="5">
        <v>2220</v>
      </c>
      <c r="J41" s="5">
        <v>2070</v>
      </c>
      <c r="K41" s="5">
        <v>1920</v>
      </c>
      <c r="L41" s="5">
        <v>1930</v>
      </c>
      <c r="M41" s="5">
        <v>1740</v>
      </c>
      <c r="N41" s="5">
        <v>1350</v>
      </c>
      <c r="O41" s="5">
        <v>940</v>
      </c>
      <c r="P41" s="5">
        <v>700</v>
      </c>
      <c r="Q41" s="5">
        <v>390</v>
      </c>
      <c r="R41" s="5">
        <v>290</v>
      </c>
      <c r="S41" s="5">
        <v>110</v>
      </c>
      <c r="T41" s="37">
        <v>50</v>
      </c>
    </row>
    <row r="42" spans="1:20" x14ac:dyDescent="0.2">
      <c r="A42" s="9" t="s">
        <v>14</v>
      </c>
      <c r="B42" s="6" t="s">
        <v>0</v>
      </c>
      <c r="C42" s="5">
        <v>17940</v>
      </c>
      <c r="D42" s="38">
        <v>2973.668863358022</v>
      </c>
      <c r="E42" s="38">
        <v>2553.7178515192163</v>
      </c>
      <c r="F42" s="38">
        <v>2572.6132851227621</v>
      </c>
      <c r="G42" s="5">
        <v>1640</v>
      </c>
      <c r="H42" s="5">
        <v>1450</v>
      </c>
      <c r="I42" s="5">
        <v>1120</v>
      </c>
      <c r="J42" s="5">
        <v>1020</v>
      </c>
      <c r="K42" s="5">
        <v>940</v>
      </c>
      <c r="L42" s="5">
        <v>920</v>
      </c>
      <c r="M42" s="5">
        <v>840</v>
      </c>
      <c r="N42" s="5">
        <v>650</v>
      </c>
      <c r="O42" s="5">
        <v>490</v>
      </c>
      <c r="P42" s="5">
        <v>350</v>
      </c>
      <c r="Q42" s="5">
        <v>190</v>
      </c>
      <c r="R42" s="5">
        <v>170</v>
      </c>
      <c r="S42" s="5">
        <v>40</v>
      </c>
      <c r="T42" s="37">
        <v>20</v>
      </c>
    </row>
    <row r="43" spans="1:20" x14ac:dyDescent="0.2">
      <c r="A43" s="9" t="s">
        <v>14</v>
      </c>
      <c r="B43" s="6" t="s">
        <v>23</v>
      </c>
      <c r="C43" s="5">
        <v>17390</v>
      </c>
      <c r="D43" s="38">
        <v>2800.5898702903023</v>
      </c>
      <c r="E43" s="38">
        <v>2406.9857936998146</v>
      </c>
      <c r="F43" s="38">
        <v>2442.4243360098826</v>
      </c>
      <c r="G43" s="5">
        <v>1460</v>
      </c>
      <c r="H43" s="5">
        <v>1320</v>
      </c>
      <c r="I43" s="5">
        <v>1100</v>
      </c>
      <c r="J43" s="5">
        <v>1050</v>
      </c>
      <c r="K43" s="5">
        <v>980</v>
      </c>
      <c r="L43" s="5">
        <v>1010</v>
      </c>
      <c r="M43" s="5">
        <v>900</v>
      </c>
      <c r="N43" s="5">
        <v>700</v>
      </c>
      <c r="O43" s="5">
        <v>450</v>
      </c>
      <c r="P43" s="5">
        <v>350</v>
      </c>
      <c r="Q43" s="5">
        <v>200</v>
      </c>
      <c r="R43" s="5">
        <v>120</v>
      </c>
      <c r="S43" s="5">
        <v>70</v>
      </c>
      <c r="T43" s="37">
        <v>30</v>
      </c>
    </row>
    <row r="44" spans="1:20" x14ac:dyDescent="0.2">
      <c r="A44" s="9" t="s">
        <v>15</v>
      </c>
      <c r="B44" s="6" t="s">
        <v>22</v>
      </c>
      <c r="C44" s="5">
        <v>25610</v>
      </c>
      <c r="D44" s="38">
        <v>3570.6905447564195</v>
      </c>
      <c r="E44" s="38">
        <v>3067.8545716342692</v>
      </c>
      <c r="F44" s="38">
        <v>3101.4548836093113</v>
      </c>
      <c r="G44" s="5">
        <v>1950</v>
      </c>
      <c r="H44" s="5">
        <v>1930</v>
      </c>
      <c r="I44" s="5">
        <v>1620</v>
      </c>
      <c r="J44" s="5">
        <v>1500</v>
      </c>
      <c r="K44" s="5">
        <v>1660</v>
      </c>
      <c r="L44" s="5">
        <v>1580</v>
      </c>
      <c r="M44" s="5">
        <v>1500</v>
      </c>
      <c r="N44" s="5">
        <v>1410</v>
      </c>
      <c r="O44" s="5">
        <v>1120</v>
      </c>
      <c r="P44" s="5">
        <v>760</v>
      </c>
      <c r="Q44" s="5">
        <v>420</v>
      </c>
      <c r="R44" s="5">
        <v>250</v>
      </c>
      <c r="S44" s="5">
        <v>120</v>
      </c>
      <c r="T44" s="37">
        <v>50</v>
      </c>
    </row>
    <row r="45" spans="1:20" x14ac:dyDescent="0.2">
      <c r="A45" s="9" t="s">
        <v>15</v>
      </c>
      <c r="B45" s="6" t="s">
        <v>0</v>
      </c>
      <c r="C45" s="5">
        <v>12470</v>
      </c>
      <c r="D45" s="38">
        <v>1850.2828483116582</v>
      </c>
      <c r="E45" s="38">
        <v>1588.9799965008458</v>
      </c>
      <c r="F45" s="38">
        <v>1600.7371551874965</v>
      </c>
      <c r="G45" s="5">
        <v>960</v>
      </c>
      <c r="H45" s="5">
        <v>890</v>
      </c>
      <c r="I45" s="5">
        <v>740</v>
      </c>
      <c r="J45" s="5">
        <v>720</v>
      </c>
      <c r="K45" s="5">
        <v>820</v>
      </c>
      <c r="L45" s="5">
        <v>720</v>
      </c>
      <c r="M45" s="5">
        <v>690</v>
      </c>
      <c r="N45" s="5">
        <v>660</v>
      </c>
      <c r="O45" s="5">
        <v>550</v>
      </c>
      <c r="P45" s="5">
        <v>340</v>
      </c>
      <c r="Q45" s="5">
        <v>190</v>
      </c>
      <c r="R45" s="5">
        <v>80</v>
      </c>
      <c r="S45" s="5">
        <v>50</v>
      </c>
      <c r="T45" s="37">
        <v>20</v>
      </c>
    </row>
    <row r="46" spans="1:20" x14ac:dyDescent="0.2">
      <c r="A46" s="9" t="s">
        <v>15</v>
      </c>
      <c r="B46" s="6" t="s">
        <v>23</v>
      </c>
      <c r="C46" s="5">
        <v>13140</v>
      </c>
      <c r="D46" s="38">
        <v>1720.6238418777023</v>
      </c>
      <c r="E46" s="38">
        <v>1478.8017294626311</v>
      </c>
      <c r="F46" s="38">
        <v>1500.5744286596664</v>
      </c>
      <c r="G46" s="5">
        <v>990</v>
      </c>
      <c r="H46" s="5">
        <v>1040</v>
      </c>
      <c r="I46" s="5">
        <v>880</v>
      </c>
      <c r="J46" s="5">
        <v>780</v>
      </c>
      <c r="K46" s="5">
        <v>840</v>
      </c>
      <c r="L46" s="5">
        <v>860</v>
      </c>
      <c r="M46" s="5">
        <v>810</v>
      </c>
      <c r="N46" s="5">
        <v>750</v>
      </c>
      <c r="O46" s="5">
        <v>570</v>
      </c>
      <c r="P46" s="5">
        <v>420</v>
      </c>
      <c r="Q46" s="5">
        <v>230</v>
      </c>
      <c r="R46" s="5">
        <v>170</v>
      </c>
      <c r="S46" s="5">
        <v>70</v>
      </c>
      <c r="T46" s="37">
        <v>30</v>
      </c>
    </row>
    <row r="47" spans="1:20" x14ac:dyDescent="0.2">
      <c r="A47" s="9" t="s">
        <v>16</v>
      </c>
      <c r="B47" s="6" t="s">
        <v>22</v>
      </c>
      <c r="C47" s="5">
        <v>23920</v>
      </c>
      <c r="D47" s="38">
        <v>3838.3090352771778</v>
      </c>
      <c r="E47" s="38">
        <v>3297.7861771058315</v>
      </c>
      <c r="F47" s="38">
        <v>3333.9047876169907</v>
      </c>
      <c r="G47" s="5">
        <v>1810</v>
      </c>
      <c r="H47" s="5">
        <v>1880</v>
      </c>
      <c r="I47" s="5">
        <v>1530</v>
      </c>
      <c r="J47" s="5">
        <v>1400</v>
      </c>
      <c r="K47" s="5">
        <v>1440</v>
      </c>
      <c r="L47" s="5">
        <v>1340</v>
      </c>
      <c r="M47" s="5">
        <v>1200</v>
      </c>
      <c r="N47" s="5">
        <v>1030</v>
      </c>
      <c r="O47" s="5">
        <v>720</v>
      </c>
      <c r="P47" s="5">
        <v>490</v>
      </c>
      <c r="Q47" s="5">
        <v>290</v>
      </c>
      <c r="R47" s="5">
        <v>190</v>
      </c>
      <c r="S47" s="5">
        <v>90</v>
      </c>
      <c r="T47" s="37">
        <v>40</v>
      </c>
    </row>
    <row r="48" spans="1:20" x14ac:dyDescent="0.2">
      <c r="A48" s="9" t="s">
        <v>16</v>
      </c>
      <c r="B48" s="6" t="s">
        <v>0</v>
      </c>
      <c r="C48" s="5">
        <v>12040</v>
      </c>
      <c r="D48" s="38">
        <v>1989.7883011605529</v>
      </c>
      <c r="E48" s="38">
        <v>1708.7840438560681</v>
      </c>
      <c r="F48" s="38">
        <v>1721.4276549833792</v>
      </c>
      <c r="G48" s="5">
        <v>950</v>
      </c>
      <c r="H48" s="5">
        <v>910</v>
      </c>
      <c r="I48" s="5">
        <v>750</v>
      </c>
      <c r="J48" s="5">
        <v>700</v>
      </c>
      <c r="K48" s="5">
        <v>720</v>
      </c>
      <c r="L48" s="5">
        <v>640</v>
      </c>
      <c r="M48" s="5">
        <v>610</v>
      </c>
      <c r="N48" s="5">
        <v>470</v>
      </c>
      <c r="O48" s="5">
        <v>370</v>
      </c>
      <c r="P48" s="5">
        <v>230</v>
      </c>
      <c r="Q48" s="5">
        <v>140</v>
      </c>
      <c r="R48" s="5">
        <v>90</v>
      </c>
      <c r="S48" s="5">
        <v>30</v>
      </c>
      <c r="T48" s="37">
        <v>10</v>
      </c>
    </row>
    <row r="49" spans="1:20" x14ac:dyDescent="0.2">
      <c r="A49" s="9" t="s">
        <v>16</v>
      </c>
      <c r="B49" s="6" t="s">
        <v>23</v>
      </c>
      <c r="C49" s="5">
        <v>11880</v>
      </c>
      <c r="D49" s="38">
        <v>1848.7554045707225</v>
      </c>
      <c r="E49" s="38">
        <v>1588.9252625077206</v>
      </c>
      <c r="F49" s="38">
        <v>1612.3193329215565</v>
      </c>
      <c r="G49" s="5">
        <v>860</v>
      </c>
      <c r="H49" s="5">
        <v>970</v>
      </c>
      <c r="I49" s="5">
        <v>780</v>
      </c>
      <c r="J49" s="5">
        <v>700</v>
      </c>
      <c r="K49" s="5">
        <v>720</v>
      </c>
      <c r="L49" s="5">
        <v>700</v>
      </c>
      <c r="M49" s="5">
        <v>590</v>
      </c>
      <c r="N49" s="5">
        <v>560</v>
      </c>
      <c r="O49" s="5">
        <v>350</v>
      </c>
      <c r="P49" s="5">
        <v>260</v>
      </c>
      <c r="Q49" s="5">
        <v>150</v>
      </c>
      <c r="R49" s="5">
        <v>100</v>
      </c>
      <c r="S49" s="5">
        <v>60</v>
      </c>
      <c r="T49" s="37">
        <v>30</v>
      </c>
    </row>
    <row r="50" spans="1:20" x14ac:dyDescent="0.2">
      <c r="A50" s="11" t="s">
        <v>17</v>
      </c>
      <c r="B50" s="6" t="s">
        <v>22</v>
      </c>
      <c r="C50" s="5">
        <v>98660</v>
      </c>
      <c r="D50" s="38">
        <v>15727.16882649388</v>
      </c>
      <c r="E50" s="38">
        <v>13512.41900647948</v>
      </c>
      <c r="F50" s="38">
        <v>13660.41216702664</v>
      </c>
      <c r="G50" s="5">
        <v>8480</v>
      </c>
      <c r="H50" s="5">
        <v>7840</v>
      </c>
      <c r="I50" s="5">
        <v>6130</v>
      </c>
      <c r="J50" s="5">
        <v>5750</v>
      </c>
      <c r="K50" s="5">
        <v>5750</v>
      </c>
      <c r="L50" s="5">
        <v>5540</v>
      </c>
      <c r="M50" s="5">
        <v>5000</v>
      </c>
      <c r="N50" s="5">
        <v>4110</v>
      </c>
      <c r="O50" s="5">
        <v>3030</v>
      </c>
      <c r="P50" s="5">
        <v>1970</v>
      </c>
      <c r="Q50" s="5">
        <v>1120</v>
      </c>
      <c r="R50" s="5">
        <v>640</v>
      </c>
      <c r="S50" s="5">
        <v>310</v>
      </c>
      <c r="T50" s="37">
        <v>90</v>
      </c>
    </row>
    <row r="51" spans="1:20" x14ac:dyDescent="0.2">
      <c r="A51" s="11" t="s">
        <v>17</v>
      </c>
      <c r="B51" s="6" t="s">
        <v>0</v>
      </c>
      <c r="C51" s="5">
        <v>48860</v>
      </c>
      <c r="D51" s="38">
        <v>8124.3570303843244</v>
      </c>
      <c r="E51" s="38">
        <v>6977.0093893975627</v>
      </c>
      <c r="F51" s="38">
        <v>7028.6335802181147</v>
      </c>
      <c r="G51" s="5">
        <v>4320</v>
      </c>
      <c r="H51" s="5">
        <v>3790</v>
      </c>
      <c r="I51" s="5">
        <v>2970</v>
      </c>
      <c r="J51" s="5">
        <v>2760</v>
      </c>
      <c r="K51" s="5">
        <v>2730</v>
      </c>
      <c r="L51" s="5">
        <v>2700</v>
      </c>
      <c r="M51" s="5">
        <v>2380</v>
      </c>
      <c r="N51" s="5">
        <v>1910</v>
      </c>
      <c r="O51" s="5">
        <v>1380</v>
      </c>
      <c r="P51" s="5">
        <v>890</v>
      </c>
      <c r="Q51" s="5">
        <v>500</v>
      </c>
      <c r="R51" s="5">
        <v>260</v>
      </c>
      <c r="S51" s="5">
        <v>120</v>
      </c>
      <c r="T51" s="37">
        <v>20</v>
      </c>
    </row>
    <row r="52" spans="1:20" x14ac:dyDescent="0.2">
      <c r="A52" s="11" t="s">
        <v>17</v>
      </c>
      <c r="B52" s="6" t="s">
        <v>23</v>
      </c>
      <c r="C52" s="5">
        <v>49800</v>
      </c>
      <c r="D52" s="38">
        <v>7603.6930203829525</v>
      </c>
      <c r="E52" s="38">
        <v>6535.0450895614567</v>
      </c>
      <c r="F52" s="38">
        <v>6631.2618900555899</v>
      </c>
      <c r="G52" s="5">
        <v>4160</v>
      </c>
      <c r="H52" s="5">
        <v>4050</v>
      </c>
      <c r="I52" s="5">
        <v>3160</v>
      </c>
      <c r="J52" s="5">
        <v>2990</v>
      </c>
      <c r="K52" s="5">
        <v>3020</v>
      </c>
      <c r="L52" s="5">
        <v>2840</v>
      </c>
      <c r="M52" s="5">
        <v>2620</v>
      </c>
      <c r="N52" s="5">
        <v>2200</v>
      </c>
      <c r="O52" s="5">
        <v>1650</v>
      </c>
      <c r="P52" s="5">
        <v>1080</v>
      </c>
      <c r="Q52" s="5">
        <v>620</v>
      </c>
      <c r="R52" s="5">
        <v>380</v>
      </c>
      <c r="S52" s="5">
        <v>190</v>
      </c>
      <c r="T52" s="37">
        <v>70</v>
      </c>
    </row>
    <row r="53" spans="1:20" x14ac:dyDescent="0.2">
      <c r="A53" s="9" t="s">
        <v>18</v>
      </c>
      <c r="B53" s="6" t="s">
        <v>22</v>
      </c>
      <c r="C53" s="5">
        <v>8250</v>
      </c>
      <c r="D53" s="38">
        <v>1330.7604391648667</v>
      </c>
      <c r="E53" s="38">
        <v>1143.3585313174945</v>
      </c>
      <c r="F53" s="38">
        <v>1155.8810295176386</v>
      </c>
      <c r="G53" s="5">
        <v>630</v>
      </c>
      <c r="H53" s="5">
        <v>590</v>
      </c>
      <c r="I53" s="5">
        <v>470</v>
      </c>
      <c r="J53" s="5">
        <v>490</v>
      </c>
      <c r="K53" s="5">
        <v>490</v>
      </c>
      <c r="L53" s="5">
        <v>450</v>
      </c>
      <c r="M53" s="5">
        <v>440</v>
      </c>
      <c r="N53" s="5">
        <v>380</v>
      </c>
      <c r="O53" s="5">
        <v>260</v>
      </c>
      <c r="P53" s="5">
        <v>200</v>
      </c>
      <c r="Q53" s="5">
        <v>100</v>
      </c>
      <c r="R53" s="5">
        <v>70</v>
      </c>
      <c r="S53" s="5">
        <v>40</v>
      </c>
      <c r="T53" s="37">
        <v>10</v>
      </c>
    </row>
    <row r="54" spans="1:20" x14ac:dyDescent="0.2">
      <c r="A54" s="9" t="s">
        <v>18</v>
      </c>
      <c r="B54" s="6" t="s">
        <v>0</v>
      </c>
      <c r="C54" s="5">
        <v>4090</v>
      </c>
      <c r="D54" s="38">
        <v>679.17128360646177</v>
      </c>
      <c r="E54" s="38">
        <v>583.2565463346358</v>
      </c>
      <c r="F54" s="38">
        <v>587.57217005890243</v>
      </c>
      <c r="G54" s="5">
        <v>340</v>
      </c>
      <c r="H54" s="5">
        <v>280</v>
      </c>
      <c r="I54" s="5">
        <v>230</v>
      </c>
      <c r="J54" s="5">
        <v>240</v>
      </c>
      <c r="K54" s="5">
        <v>220</v>
      </c>
      <c r="L54" s="5">
        <v>240</v>
      </c>
      <c r="M54" s="5">
        <v>200</v>
      </c>
      <c r="N54" s="5">
        <v>170</v>
      </c>
      <c r="O54" s="5">
        <v>130</v>
      </c>
      <c r="P54" s="5">
        <v>90</v>
      </c>
      <c r="Q54" s="5">
        <v>50</v>
      </c>
      <c r="R54" s="5">
        <v>30</v>
      </c>
      <c r="S54" s="5">
        <v>20</v>
      </c>
      <c r="T54" s="37">
        <v>0</v>
      </c>
    </row>
    <row r="55" spans="1:20" x14ac:dyDescent="0.2">
      <c r="A55" s="9" t="s">
        <v>18</v>
      </c>
      <c r="B55" s="6" t="s">
        <v>23</v>
      </c>
      <c r="C55" s="5">
        <v>4160</v>
      </c>
      <c r="D55" s="38">
        <v>651.64051883878938</v>
      </c>
      <c r="E55" s="38">
        <v>560.05682520074117</v>
      </c>
      <c r="F55" s="38">
        <v>568.30265596046945</v>
      </c>
      <c r="G55" s="5">
        <v>290</v>
      </c>
      <c r="H55" s="5">
        <v>310</v>
      </c>
      <c r="I55" s="5">
        <v>240</v>
      </c>
      <c r="J55" s="5">
        <v>250</v>
      </c>
      <c r="K55" s="5">
        <v>270</v>
      </c>
      <c r="L55" s="5">
        <v>210</v>
      </c>
      <c r="M55" s="5">
        <v>240</v>
      </c>
      <c r="N55" s="5">
        <v>210</v>
      </c>
      <c r="O55" s="5">
        <v>130</v>
      </c>
      <c r="P55" s="5">
        <v>110</v>
      </c>
      <c r="Q55" s="5">
        <v>50</v>
      </c>
      <c r="R55" s="5">
        <v>40</v>
      </c>
      <c r="S55" s="5">
        <v>20</v>
      </c>
      <c r="T55" s="37">
        <v>10</v>
      </c>
    </row>
    <row r="56" spans="1:20" x14ac:dyDescent="0.2">
      <c r="A56" s="9" t="s">
        <v>19</v>
      </c>
      <c r="B56" s="6" t="s">
        <v>22</v>
      </c>
      <c r="C56" s="5">
        <v>59150</v>
      </c>
      <c r="D56" s="38">
        <v>9447.2993160547157</v>
      </c>
      <c r="E56" s="38">
        <v>8116.9006479481641</v>
      </c>
      <c r="F56" s="38">
        <v>8205.8000359971211</v>
      </c>
      <c r="G56" s="5">
        <v>5670</v>
      </c>
      <c r="H56" s="5">
        <v>4710</v>
      </c>
      <c r="I56" s="5">
        <v>3630</v>
      </c>
      <c r="J56" s="5">
        <v>3430</v>
      </c>
      <c r="K56" s="5">
        <v>3540</v>
      </c>
      <c r="L56" s="5">
        <v>3560</v>
      </c>
      <c r="M56" s="5">
        <v>2960</v>
      </c>
      <c r="N56" s="5">
        <v>2310</v>
      </c>
      <c r="O56" s="5">
        <v>1490</v>
      </c>
      <c r="P56" s="5">
        <v>960</v>
      </c>
      <c r="Q56" s="5">
        <v>530</v>
      </c>
      <c r="R56" s="5">
        <v>370</v>
      </c>
      <c r="S56" s="5">
        <v>140</v>
      </c>
      <c r="T56" s="37">
        <v>80</v>
      </c>
    </row>
    <row r="57" spans="1:20" x14ac:dyDescent="0.2">
      <c r="A57" s="10" t="s">
        <v>19</v>
      </c>
      <c r="B57" s="6" t="s">
        <v>0</v>
      </c>
      <c r="C57" s="5">
        <v>29770</v>
      </c>
      <c r="D57" s="38">
        <v>4886.3620458389223</v>
      </c>
      <c r="E57" s="38">
        <v>4196.2943955210822</v>
      </c>
      <c r="F57" s="38">
        <v>4227.3435586399955</v>
      </c>
      <c r="G57" s="5">
        <v>2870</v>
      </c>
      <c r="H57" s="5">
        <v>2380</v>
      </c>
      <c r="I57" s="5">
        <v>1770</v>
      </c>
      <c r="J57" s="5">
        <v>1710</v>
      </c>
      <c r="K57" s="5">
        <v>1760</v>
      </c>
      <c r="L57" s="5">
        <v>1820</v>
      </c>
      <c r="M57" s="5">
        <v>1480</v>
      </c>
      <c r="N57" s="5">
        <v>1070</v>
      </c>
      <c r="O57" s="5">
        <v>700</v>
      </c>
      <c r="P57" s="5">
        <v>430</v>
      </c>
      <c r="Q57" s="5">
        <v>250</v>
      </c>
      <c r="R57" s="5">
        <v>150</v>
      </c>
      <c r="S57" s="5">
        <v>50</v>
      </c>
      <c r="T57" s="37">
        <v>20</v>
      </c>
    </row>
    <row r="58" spans="1:20" x14ac:dyDescent="0.2">
      <c r="A58" s="10" t="s">
        <v>19</v>
      </c>
      <c r="B58" s="6" t="s">
        <v>23</v>
      </c>
      <c r="C58" s="5">
        <v>29380</v>
      </c>
      <c r="D58" s="38">
        <v>4561.4836318715252</v>
      </c>
      <c r="E58" s="38">
        <v>3920.3977764051879</v>
      </c>
      <c r="F58" s="38">
        <v>3978.118591723286</v>
      </c>
      <c r="G58" s="5">
        <v>2800</v>
      </c>
      <c r="H58" s="5">
        <v>2330</v>
      </c>
      <c r="I58" s="5">
        <v>1860</v>
      </c>
      <c r="J58" s="5">
        <v>1720</v>
      </c>
      <c r="K58" s="5">
        <v>1780</v>
      </c>
      <c r="L58" s="5">
        <v>1740</v>
      </c>
      <c r="M58" s="5">
        <v>1480</v>
      </c>
      <c r="N58" s="5">
        <v>1240</v>
      </c>
      <c r="O58" s="5">
        <v>790</v>
      </c>
      <c r="P58" s="5">
        <v>530</v>
      </c>
      <c r="Q58" s="5">
        <v>280</v>
      </c>
      <c r="R58" s="5">
        <v>220</v>
      </c>
      <c r="S58" s="5">
        <v>90</v>
      </c>
      <c r="T58" s="37">
        <v>60</v>
      </c>
    </row>
    <row r="59" spans="1:20" x14ac:dyDescent="0.2">
      <c r="A59" s="9" t="s">
        <v>20</v>
      </c>
      <c r="B59" s="6" t="s">
        <v>22</v>
      </c>
      <c r="C59" s="5">
        <v>3690</v>
      </c>
      <c r="D59" s="38">
        <v>513.24094072474202</v>
      </c>
      <c r="E59" s="38">
        <v>440.96472282217422</v>
      </c>
      <c r="F59" s="38">
        <v>445.79433645308376</v>
      </c>
      <c r="G59" s="5">
        <v>300</v>
      </c>
      <c r="H59" s="5">
        <v>280</v>
      </c>
      <c r="I59" s="5">
        <v>200</v>
      </c>
      <c r="J59" s="5">
        <v>210</v>
      </c>
      <c r="K59" s="5">
        <v>200</v>
      </c>
      <c r="L59" s="5">
        <v>230</v>
      </c>
      <c r="M59" s="5">
        <v>300</v>
      </c>
      <c r="N59" s="5">
        <v>220</v>
      </c>
      <c r="O59" s="5">
        <v>140</v>
      </c>
      <c r="P59" s="5">
        <v>100</v>
      </c>
      <c r="Q59" s="5">
        <v>60</v>
      </c>
      <c r="R59" s="5">
        <v>30</v>
      </c>
      <c r="S59" s="5">
        <v>20</v>
      </c>
      <c r="T59" s="37">
        <v>0</v>
      </c>
    </row>
    <row r="60" spans="1:20" x14ac:dyDescent="0.2">
      <c r="A60" s="9" t="s">
        <v>20</v>
      </c>
      <c r="B60" s="6" t="s">
        <v>0</v>
      </c>
      <c r="C60" s="5">
        <v>1850</v>
      </c>
      <c r="D60" s="38">
        <v>279.01090569778972</v>
      </c>
      <c r="E60" s="38">
        <v>239.60809471044499</v>
      </c>
      <c r="F60" s="38">
        <v>241.38099959176535</v>
      </c>
      <c r="G60" s="5">
        <v>150</v>
      </c>
      <c r="H60" s="5">
        <v>130</v>
      </c>
      <c r="I60" s="5">
        <v>100</v>
      </c>
      <c r="J60" s="5">
        <v>100</v>
      </c>
      <c r="K60" s="5">
        <v>90</v>
      </c>
      <c r="L60" s="5">
        <v>100</v>
      </c>
      <c r="M60" s="5">
        <v>150</v>
      </c>
      <c r="N60" s="5">
        <v>110</v>
      </c>
      <c r="O60" s="5">
        <v>60</v>
      </c>
      <c r="P60" s="5">
        <v>50</v>
      </c>
      <c r="Q60" s="5">
        <v>30</v>
      </c>
      <c r="R60" s="5">
        <v>10</v>
      </c>
      <c r="S60" s="5">
        <v>10</v>
      </c>
      <c r="T60" s="37">
        <v>0</v>
      </c>
    </row>
    <row r="61" spans="1:20" x14ac:dyDescent="0.2">
      <c r="A61" s="9" t="s">
        <v>20</v>
      </c>
      <c r="B61" s="6" t="s">
        <v>23</v>
      </c>
      <c r="C61" s="5">
        <v>1840</v>
      </c>
      <c r="D61" s="38">
        <v>234.29771463866584</v>
      </c>
      <c r="E61" s="38">
        <v>201.36874613959233</v>
      </c>
      <c r="F61" s="38">
        <v>204.3335392217418</v>
      </c>
      <c r="G61" s="5">
        <v>150</v>
      </c>
      <c r="H61" s="5">
        <v>150</v>
      </c>
      <c r="I61" s="5">
        <v>100</v>
      </c>
      <c r="J61" s="5">
        <v>110</v>
      </c>
      <c r="K61" s="5">
        <v>110</v>
      </c>
      <c r="L61" s="5">
        <v>130</v>
      </c>
      <c r="M61" s="5">
        <v>150</v>
      </c>
      <c r="N61" s="5">
        <v>110</v>
      </c>
      <c r="O61" s="5">
        <v>80</v>
      </c>
      <c r="P61" s="5">
        <v>50</v>
      </c>
      <c r="Q61" s="5">
        <v>30</v>
      </c>
      <c r="R61" s="5">
        <v>20</v>
      </c>
      <c r="S61" s="5">
        <v>10</v>
      </c>
      <c r="T61" s="37">
        <v>0</v>
      </c>
    </row>
    <row r="62" spans="1:20" x14ac:dyDescent="0.2">
      <c r="A62" s="13" t="s">
        <v>21</v>
      </c>
      <c r="B62" s="6" t="s">
        <v>22</v>
      </c>
      <c r="C62" s="5">
        <v>17670</v>
      </c>
      <c r="D62" s="38">
        <v>2606.5307775377969</v>
      </c>
      <c r="E62" s="38">
        <v>2239.4708423326133</v>
      </c>
      <c r="F62" s="38">
        <v>2263.9983801295898</v>
      </c>
      <c r="G62" s="5">
        <v>1490</v>
      </c>
      <c r="H62" s="5">
        <v>1350</v>
      </c>
      <c r="I62" s="5">
        <v>1090</v>
      </c>
      <c r="J62" s="5">
        <v>1020</v>
      </c>
      <c r="K62" s="5">
        <v>1030</v>
      </c>
      <c r="L62" s="5">
        <v>1090</v>
      </c>
      <c r="M62" s="5">
        <v>1070</v>
      </c>
      <c r="N62" s="5">
        <v>820</v>
      </c>
      <c r="O62" s="5">
        <v>640</v>
      </c>
      <c r="P62" s="5">
        <v>480</v>
      </c>
      <c r="Q62" s="5">
        <v>250</v>
      </c>
      <c r="R62" s="5">
        <v>150</v>
      </c>
      <c r="S62" s="5">
        <v>60</v>
      </c>
      <c r="T62" s="37">
        <v>20</v>
      </c>
    </row>
    <row r="63" spans="1:20" x14ac:dyDescent="0.2">
      <c r="A63" s="10" t="s">
        <v>21</v>
      </c>
      <c r="B63" s="6" t="s">
        <v>0</v>
      </c>
      <c r="C63" s="5">
        <v>8680</v>
      </c>
      <c r="D63" s="38">
        <v>1336.3153904473086</v>
      </c>
      <c r="E63" s="38">
        <v>1147.5966641394996</v>
      </c>
      <c r="F63" s="38">
        <v>1156.0879454131918</v>
      </c>
      <c r="G63" s="5">
        <v>720</v>
      </c>
      <c r="H63" s="5">
        <v>680</v>
      </c>
      <c r="I63" s="5">
        <v>510</v>
      </c>
      <c r="J63" s="5">
        <v>510</v>
      </c>
      <c r="K63" s="5">
        <v>470</v>
      </c>
      <c r="L63" s="5">
        <v>560</v>
      </c>
      <c r="M63" s="5">
        <v>500</v>
      </c>
      <c r="N63" s="5">
        <v>380</v>
      </c>
      <c r="O63" s="5">
        <v>290</v>
      </c>
      <c r="P63" s="5">
        <v>220</v>
      </c>
      <c r="Q63" s="5">
        <v>120</v>
      </c>
      <c r="R63" s="5">
        <v>50</v>
      </c>
      <c r="S63" s="5">
        <v>30</v>
      </c>
      <c r="T63" s="37">
        <v>0</v>
      </c>
    </row>
    <row r="64" spans="1:20" x14ac:dyDescent="0.2">
      <c r="A64" s="10" t="s">
        <v>21</v>
      </c>
      <c r="B64" s="6" t="s">
        <v>23</v>
      </c>
      <c r="C64" s="5">
        <v>8990</v>
      </c>
      <c r="D64" s="38">
        <v>1270.3329215565163</v>
      </c>
      <c r="E64" s="38">
        <v>1091.7961704756021</v>
      </c>
      <c r="F64" s="38">
        <v>1107.8709079678813</v>
      </c>
      <c r="G64" s="5">
        <v>770</v>
      </c>
      <c r="H64" s="5">
        <v>670</v>
      </c>
      <c r="I64" s="5">
        <v>580</v>
      </c>
      <c r="J64" s="5">
        <v>510</v>
      </c>
      <c r="K64" s="5">
        <v>560</v>
      </c>
      <c r="L64" s="5">
        <v>530</v>
      </c>
      <c r="M64" s="5">
        <v>570</v>
      </c>
      <c r="N64" s="5">
        <v>440</v>
      </c>
      <c r="O64" s="5">
        <v>350</v>
      </c>
      <c r="P64" s="5">
        <v>260</v>
      </c>
      <c r="Q64" s="5">
        <v>130</v>
      </c>
      <c r="R64" s="5">
        <v>100</v>
      </c>
      <c r="S64" s="5">
        <v>30</v>
      </c>
      <c r="T64" s="37">
        <v>20</v>
      </c>
    </row>
    <row r="65" spans="1:20" x14ac:dyDescent="0.2">
      <c r="A65" s="13" t="s">
        <v>22</v>
      </c>
      <c r="B65" s="6" t="s">
        <v>22</v>
      </c>
      <c r="C65" s="5">
        <v>790100</v>
      </c>
      <c r="D65" s="38">
        <v>122484.95050395968</v>
      </c>
      <c r="E65" s="38">
        <v>105236.23110151188</v>
      </c>
      <c r="F65" s="38">
        <v>106388.81839452844</v>
      </c>
      <c r="G65" s="5">
        <v>68590</v>
      </c>
      <c r="H65" s="5">
        <v>62450</v>
      </c>
      <c r="I65" s="5">
        <v>49000</v>
      </c>
      <c r="J65" s="5">
        <v>46130</v>
      </c>
      <c r="K65" s="5">
        <v>47320</v>
      </c>
      <c r="L65" s="5">
        <v>46220</v>
      </c>
      <c r="M65" s="5">
        <v>42290</v>
      </c>
      <c r="N65" s="5">
        <v>34550</v>
      </c>
      <c r="O65" s="5">
        <v>24450</v>
      </c>
      <c r="P65" s="5">
        <v>16620</v>
      </c>
      <c r="Q65" s="5">
        <v>9410</v>
      </c>
      <c r="R65" s="5">
        <v>5530</v>
      </c>
      <c r="S65" s="5">
        <v>2460</v>
      </c>
      <c r="T65" s="37">
        <v>970</v>
      </c>
    </row>
    <row r="66" spans="1:20" x14ac:dyDescent="0.2">
      <c r="A66" s="10" t="s">
        <v>22</v>
      </c>
      <c r="B66" s="6" t="s">
        <v>0</v>
      </c>
      <c r="C66" s="5">
        <v>391820</v>
      </c>
      <c r="D66" s="38">
        <v>63078.491864466094</v>
      </c>
      <c r="E66" s="38">
        <v>54170.345833090338</v>
      </c>
      <c r="F66" s="38">
        <v>54571.162302443583</v>
      </c>
      <c r="G66" s="5">
        <v>34650</v>
      </c>
      <c r="H66" s="5">
        <v>30490</v>
      </c>
      <c r="I66" s="5">
        <v>23580</v>
      </c>
      <c r="J66" s="5">
        <v>22240</v>
      </c>
      <c r="K66" s="5">
        <v>22890</v>
      </c>
      <c r="L66" s="5">
        <v>22390</v>
      </c>
      <c r="M66" s="5">
        <v>20250</v>
      </c>
      <c r="N66" s="5">
        <v>16330</v>
      </c>
      <c r="O66" s="5">
        <v>11470</v>
      </c>
      <c r="P66" s="5">
        <v>7780</v>
      </c>
      <c r="Q66" s="5">
        <v>4340</v>
      </c>
      <c r="R66" s="5">
        <v>2330</v>
      </c>
      <c r="S66" s="5">
        <v>970</v>
      </c>
      <c r="T66" s="37">
        <v>290</v>
      </c>
    </row>
    <row r="67" spans="1:20" x14ac:dyDescent="0.2">
      <c r="A67" s="10" t="s">
        <v>22</v>
      </c>
      <c r="B67" s="6" t="s">
        <v>23</v>
      </c>
      <c r="C67" s="5">
        <v>398280</v>
      </c>
      <c r="D67" s="38">
        <v>59412.77516985793</v>
      </c>
      <c r="E67" s="38">
        <v>51062.709079678811</v>
      </c>
      <c r="F67" s="38">
        <v>51814.515750463244</v>
      </c>
      <c r="G67" s="5">
        <v>33940</v>
      </c>
      <c r="H67" s="5">
        <v>31960</v>
      </c>
      <c r="I67" s="5">
        <v>25420</v>
      </c>
      <c r="J67" s="5">
        <v>23890</v>
      </c>
      <c r="K67" s="5">
        <v>24430</v>
      </c>
      <c r="L67" s="5">
        <v>23830</v>
      </c>
      <c r="M67" s="5">
        <v>22040</v>
      </c>
      <c r="N67" s="5">
        <v>18220</v>
      </c>
      <c r="O67" s="5">
        <v>12980</v>
      </c>
      <c r="P67" s="5">
        <v>8840</v>
      </c>
      <c r="Q67" s="5">
        <v>5070</v>
      </c>
      <c r="R67" s="5">
        <v>3200</v>
      </c>
      <c r="S67" s="5">
        <v>1490</v>
      </c>
      <c r="T67" s="37">
        <v>680</v>
      </c>
    </row>
  </sheetData>
  <pageMargins left="0.7" right="0.7" top="0.75" bottom="0.75" header="0.3" footer="0.3"/>
  <ignoredErrors>
    <ignoredError sqref="C2:T64 C65:T67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428-C54D-AF45-BE27-B75250523676}">
  <dimension ref="A1:T67"/>
  <sheetViews>
    <sheetView zoomScale="90" zoomScaleNormal="90" workbookViewId="0">
      <selection activeCell="W45" sqref="W4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Table341011121318141516[[#This Row],[Total]]-Table3410111213181415[[#This Row],[Total]]</f>
        <v>437760</v>
      </c>
      <c r="D2" s="5">
        <f>Table341011121318141516[[#This Row],[  5-11]]-Table3410111213181415[[#This Row],[  5-11]]</f>
        <v>53186.556838865727</v>
      </c>
      <c r="E2" s="5">
        <f>Table341011121318141516[[#This Row],[  12-17]]-Table3410111213181415[[#This Row],[  12-17]]</f>
        <v>30520.625409934804</v>
      </c>
      <c r="F2" s="5">
        <f>Table341011121318141516[[#This Row],[  18-24]]-Table3410111213181415[[#This Row],[  18-24]]</f>
        <v>28012.817751199473</v>
      </c>
      <c r="G2" s="5">
        <f>Table341011121318141516[[#This Row],[  25-29 ]]-Table3410111213181415[[#This Row],[  25-29 ]]</f>
        <v>49750</v>
      </c>
      <c r="H2" s="5">
        <f>Table341011121318141516[[#This Row],[  30-34]]-Table3410111213181415[[#This Row],[  30-34]]</f>
        <v>47510</v>
      </c>
      <c r="I2" s="5">
        <f>Table341011121318141516[[#This Row],[  35-39]]-Table3410111213181415[[#This Row],[  35-39]]</f>
        <v>36340</v>
      </c>
      <c r="J2" s="5">
        <f>Table341011121318141516[[#This Row],[  40-44]]-Table3410111213181415[[#This Row],[  40-44]]</f>
        <v>29240</v>
      </c>
      <c r="K2" s="5">
        <f>Table341011121318141516[[#This Row],[  45-49 ]]-Table3410111213181415[[#This Row],[  45-49 ]]</f>
        <v>28380</v>
      </c>
      <c r="L2" s="5">
        <f>Table341011121318141516[[#This Row],[  50-54]]-Table3410111213181415[[#This Row],[  50-54]]</f>
        <v>27550</v>
      </c>
      <c r="M2" s="5">
        <f>Table341011121318141516[[#This Row],[  55-59]]-Table3410111213181415[[#This Row],[  55-59]]</f>
        <v>26470</v>
      </c>
      <c r="N2" s="5">
        <f>Table341011121318141516[[#This Row],[  60-64]]-Table3410111213181415[[#This Row],[  60-64]]</f>
        <v>22480</v>
      </c>
      <c r="O2" s="5">
        <f>Table341011121318141516[[#This Row],[  65-69]]-Table3410111213181415[[#This Row],[  65-69]]</f>
        <v>18770</v>
      </c>
      <c r="P2" s="5">
        <f>Table341011121318141516[[#This Row],[  70-74]]-Table3410111213181415[[#This Row],[  70-74]]</f>
        <v>14920</v>
      </c>
      <c r="Q2" s="5">
        <f>Table341011121318141516[[#This Row],[  75-79]]-Table3410111213181415[[#This Row],[  75-79]]</f>
        <v>10110</v>
      </c>
      <c r="R2" s="5">
        <f>Table341011121318141516[[#This Row],[  80-84]]-Table3410111213181415[[#This Row],[  80-84]]</f>
        <v>7450</v>
      </c>
      <c r="S2" s="5">
        <f>Table341011121318141516[[#This Row],[  85-89]]-Table3410111213181415[[#This Row],[  85-89]]</f>
        <v>4120</v>
      </c>
      <c r="T2" s="5">
        <f>Table341011121318141516[[#This Row],[  90+]]-Table3410111213181415[[#This Row],[  90+]]</f>
        <v>2950</v>
      </c>
    </row>
    <row r="3" spans="1:20" x14ac:dyDescent="0.2">
      <c r="A3" s="9" t="s">
        <v>1</v>
      </c>
      <c r="B3" s="6" t="s">
        <v>0</v>
      </c>
      <c r="C3" s="5">
        <f>Table341011121318141516[[#This Row],[Total]]-Table3410111213181415[[#This Row],[Total]]</f>
        <v>217130</v>
      </c>
      <c r="D3" s="5">
        <f>Table341011121318141516[[#This Row],[  5-11]]-Table3410111213181415[[#This Row],[  5-11]]</f>
        <v>26954.314544325764</v>
      </c>
      <c r="E3" s="5">
        <f>Table341011121318141516[[#This Row],[  12-17]]-Table3410111213181415[[#This Row],[  12-17]]</f>
        <v>15507.910837994512</v>
      </c>
      <c r="F3" s="5">
        <f>Table341011121318141516[[#This Row],[  18-24]]-Table3410111213181415[[#This Row],[  18-24]]</f>
        <v>14197.774617679725</v>
      </c>
      <c r="G3" s="5">
        <f>Table341011121318141516[[#This Row],[  25-29 ]]-Table3410111213181415[[#This Row],[  25-29 ]]</f>
        <v>25390</v>
      </c>
      <c r="H3" s="5">
        <f>Table341011121318141516[[#This Row],[  30-34]]-Table3410111213181415[[#This Row],[  30-34]]</f>
        <v>24220</v>
      </c>
      <c r="I3" s="5">
        <f>Table341011121318141516[[#This Row],[  35-39]]-Table3410111213181415[[#This Row],[  35-39]]</f>
        <v>18130</v>
      </c>
      <c r="J3" s="5">
        <f>Table341011121318141516[[#This Row],[  40-44]]-Table3410111213181415[[#This Row],[  40-44]]</f>
        <v>14790</v>
      </c>
      <c r="K3" s="5">
        <f>Table341011121318141516[[#This Row],[  45-49 ]]-Table3410111213181415[[#This Row],[  45-49 ]]</f>
        <v>13970</v>
      </c>
      <c r="L3" s="5">
        <f>Table341011121318141516[[#This Row],[  50-54]]-Table3410111213181415[[#This Row],[  50-54]]</f>
        <v>13390</v>
      </c>
      <c r="M3" s="5">
        <f>Table341011121318141516[[#This Row],[  55-59]]-Table3410111213181415[[#This Row],[  55-59]]</f>
        <v>12850</v>
      </c>
      <c r="N3" s="5">
        <f>Table341011121318141516[[#This Row],[  60-64]]-Table3410111213181415[[#This Row],[  60-64]]</f>
        <v>11030</v>
      </c>
      <c r="O3" s="5">
        <f>Table341011121318141516[[#This Row],[  65-69]]-Table3410111213181415[[#This Row],[  65-69]]</f>
        <v>8950</v>
      </c>
      <c r="P3" s="5">
        <f>Table341011121318141516[[#This Row],[  70-74]]-Table3410111213181415[[#This Row],[  70-74]]</f>
        <v>7180</v>
      </c>
      <c r="Q3" s="5">
        <f>Table341011121318141516[[#This Row],[  75-79]]-Table3410111213181415[[#This Row],[  75-79]]</f>
        <v>4660</v>
      </c>
      <c r="R3" s="5">
        <f>Table341011121318141516[[#This Row],[  80-84]]-Table3410111213181415[[#This Row],[  80-84]]</f>
        <v>3250</v>
      </c>
      <c r="S3" s="5">
        <f>Table341011121318141516[[#This Row],[  85-89]]-Table3410111213181415[[#This Row],[  85-89]]</f>
        <v>1700</v>
      </c>
      <c r="T3" s="5">
        <f>Table341011121318141516[[#This Row],[  90+]]-Table3410111213181415[[#This Row],[  90+]]</f>
        <v>960</v>
      </c>
    </row>
    <row r="4" spans="1:20" x14ac:dyDescent="0.2">
      <c r="A4" s="9" t="s">
        <v>1</v>
      </c>
      <c r="B4" s="6" t="s">
        <v>23</v>
      </c>
      <c r="C4" s="5">
        <f>Table341011121318141516[[#This Row],[Total]]-Table3410111213181415[[#This Row],[Total]]</f>
        <v>220630</v>
      </c>
      <c r="D4" s="5">
        <f>Table341011121318141516[[#This Row],[  5-11]]-Table3410111213181415[[#This Row],[  5-11]]</f>
        <v>26231.719180336462</v>
      </c>
      <c r="E4" s="5">
        <f>Table341011121318141516[[#This Row],[  12-17]]-Table3410111213181415[[#This Row],[  12-17]]</f>
        <v>15013.183174877897</v>
      </c>
      <c r="F4" s="5">
        <f>Table341011121318141516[[#This Row],[  18-24]]-Table3410111213181415[[#This Row],[  18-24]]</f>
        <v>13815.097644785639</v>
      </c>
      <c r="G4" s="5">
        <f>Table341011121318141516[[#This Row],[  25-29 ]]-Table3410111213181415[[#This Row],[  25-29 ]]</f>
        <v>24360</v>
      </c>
      <c r="H4" s="5">
        <f>Table341011121318141516[[#This Row],[  30-34]]-Table3410111213181415[[#This Row],[  30-34]]</f>
        <v>23290</v>
      </c>
      <c r="I4" s="5">
        <f>Table341011121318141516[[#This Row],[  35-39]]-Table3410111213181415[[#This Row],[  35-39]]</f>
        <v>18210</v>
      </c>
      <c r="J4" s="5">
        <f>Table341011121318141516[[#This Row],[  40-44]]-Table3410111213181415[[#This Row],[  40-44]]</f>
        <v>14450</v>
      </c>
      <c r="K4" s="5">
        <f>Table341011121318141516[[#This Row],[  45-49 ]]-Table3410111213181415[[#This Row],[  45-49 ]]</f>
        <v>14410</v>
      </c>
      <c r="L4" s="5">
        <f>Table341011121318141516[[#This Row],[  50-54]]-Table3410111213181415[[#This Row],[  50-54]]</f>
        <v>14160</v>
      </c>
      <c r="M4" s="5">
        <f>Table341011121318141516[[#This Row],[  55-59]]-Table3410111213181415[[#This Row],[  55-59]]</f>
        <v>13620</v>
      </c>
      <c r="N4" s="5">
        <f>Table341011121318141516[[#This Row],[  60-64]]-Table3410111213181415[[#This Row],[  60-64]]</f>
        <v>11450</v>
      </c>
      <c r="O4" s="5">
        <f>Table341011121318141516[[#This Row],[  65-69]]-Table3410111213181415[[#This Row],[  65-69]]</f>
        <v>9820</v>
      </c>
      <c r="P4" s="5">
        <f>Table341011121318141516[[#This Row],[  70-74]]-Table3410111213181415[[#This Row],[  70-74]]</f>
        <v>7740</v>
      </c>
      <c r="Q4" s="5">
        <f>Table341011121318141516[[#This Row],[  75-79]]-Table3410111213181415[[#This Row],[  75-79]]</f>
        <v>5450</v>
      </c>
      <c r="R4" s="5">
        <f>Table341011121318141516[[#This Row],[  80-84]]-Table3410111213181415[[#This Row],[  80-84]]</f>
        <v>4200</v>
      </c>
      <c r="S4" s="5">
        <f>Table341011121318141516[[#This Row],[  85-89]]-Table3410111213181415[[#This Row],[  85-89]]</f>
        <v>2420</v>
      </c>
      <c r="T4" s="5">
        <f>Table341011121318141516[[#This Row],[  90+]]-Table3410111213181415[[#This Row],[  90+]]</f>
        <v>1990</v>
      </c>
    </row>
    <row r="5" spans="1:20" ht="15" x14ac:dyDescent="0.2">
      <c r="A5" s="8" t="s">
        <v>2</v>
      </c>
      <c r="B5" s="6" t="s">
        <v>22</v>
      </c>
      <c r="C5" s="5">
        <f>Table341011121318141516[[#This Row],[Total]]-Table3410111213181415[[#This Row],[Total]]</f>
        <v>189440</v>
      </c>
      <c r="D5" s="5">
        <f>Table341011121318141516[[#This Row],[  5-11]]-Table3410111213181415[[#This Row],[  5-11]]</f>
        <v>20273.790895274404</v>
      </c>
      <c r="E5" s="5">
        <f>Table341011121318141516[[#This Row],[  12-17]]-Table3410111213181415[[#This Row],[  12-17]]</f>
        <v>9638.8137448481193</v>
      </c>
      <c r="F5" s="5">
        <f>Table341011121318141516[[#This Row],[  18-24]]-Table3410111213181415[[#This Row],[  18-24]]</f>
        <v>8287.3953598774751</v>
      </c>
      <c r="G5" s="5">
        <f>Table341011121318141516[[#This Row],[  25-29 ]]-Table3410111213181415[[#This Row],[  25-29 ]]</f>
        <v>10760</v>
      </c>
      <c r="H5" s="5">
        <f>Table341011121318141516[[#This Row],[  30-34]]-Table3410111213181415[[#This Row],[  30-34]]</f>
        <v>12170</v>
      </c>
      <c r="I5" s="5">
        <f>Table341011121318141516[[#This Row],[  35-39]]-Table3410111213181415[[#This Row],[  35-39]]</f>
        <v>12180</v>
      </c>
      <c r="J5" s="5">
        <f>Table341011121318141516[[#This Row],[  40-44]]-Table3410111213181415[[#This Row],[  40-44]]</f>
        <v>11630</v>
      </c>
      <c r="K5" s="5">
        <f>Table341011121318141516[[#This Row],[  45-49 ]]-Table3410111213181415[[#This Row],[  45-49 ]]</f>
        <v>13190</v>
      </c>
      <c r="L5" s="5">
        <f>Table341011121318141516[[#This Row],[  50-54]]-Table3410111213181415[[#This Row],[  50-54]]</f>
        <v>13900</v>
      </c>
      <c r="M5" s="5">
        <f>Table341011121318141516[[#This Row],[  55-59]]-Table3410111213181415[[#This Row],[  55-59]]</f>
        <v>14110</v>
      </c>
      <c r="N5" s="5">
        <f>Table341011121318141516[[#This Row],[  60-64]]-Table3410111213181415[[#This Row],[  60-64]]</f>
        <v>14080</v>
      </c>
      <c r="O5" s="5">
        <f>Table341011121318141516[[#This Row],[  65-69]]-Table3410111213181415[[#This Row],[  65-69]]</f>
        <v>13540</v>
      </c>
      <c r="P5" s="5">
        <f>Table341011121318141516[[#This Row],[  70-74]]-Table3410111213181415[[#This Row],[  70-74]]</f>
        <v>13110</v>
      </c>
      <c r="Q5" s="5">
        <f>Table341011121318141516[[#This Row],[  75-79]]-Table3410111213181415[[#This Row],[  75-79]]</f>
        <v>9650</v>
      </c>
      <c r="R5" s="5">
        <f>Table341011121318141516[[#This Row],[  80-84]]-Table3410111213181415[[#This Row],[  80-84]]</f>
        <v>6930</v>
      </c>
      <c r="S5" s="5">
        <f>Table341011121318141516[[#This Row],[  85-89]]-Table3410111213181415[[#This Row],[  85-89]]</f>
        <v>3680</v>
      </c>
      <c r="T5" s="5">
        <f>Table341011121318141516[[#This Row],[  90+]]-Table3410111213181415[[#This Row],[  90+]]</f>
        <v>2310</v>
      </c>
    </row>
    <row r="6" spans="1:20" ht="15" x14ac:dyDescent="0.2">
      <c r="A6" s="8" t="s">
        <v>2</v>
      </c>
      <c r="B6" s="6" t="s">
        <v>0</v>
      </c>
      <c r="C6" s="5">
        <f>Table341011121318141516[[#This Row],[Total]]-Table3410111213181415[[#This Row],[Total]]</f>
        <v>92580</v>
      </c>
      <c r="D6" s="5">
        <f>Table341011121318141516[[#This Row],[  5-11]]-Table3410111213181415[[#This Row],[  5-11]]</f>
        <v>10569.71747706596</v>
      </c>
      <c r="E6" s="5">
        <f>Table341011121318141516[[#This Row],[  12-17]]-Table3410111213181415[[#This Row],[  12-17]]</f>
        <v>5065.4910190362398</v>
      </c>
      <c r="F6" s="5">
        <f>Table341011121318141516[[#This Row],[  18-24]]-Table3410111213181415[[#This Row],[  18-24]]</f>
        <v>4354.7915038977999</v>
      </c>
      <c r="G6" s="5">
        <f>Table341011121318141516[[#This Row],[  25-29 ]]-Table3410111213181415[[#This Row],[  25-29 ]]</f>
        <v>5780</v>
      </c>
      <c r="H6" s="5">
        <f>Table341011121318141516[[#This Row],[  30-34]]-Table3410111213181415[[#This Row],[  30-34]]</f>
        <v>5850</v>
      </c>
      <c r="I6" s="5">
        <f>Table341011121318141516[[#This Row],[  35-39]]-Table3410111213181415[[#This Row],[  35-39]]</f>
        <v>5950</v>
      </c>
      <c r="J6" s="5">
        <f>Table341011121318141516[[#This Row],[  40-44]]-Table3410111213181415[[#This Row],[  40-44]]</f>
        <v>5600</v>
      </c>
      <c r="K6" s="5">
        <f>Table341011121318141516[[#This Row],[  45-49 ]]-Table3410111213181415[[#This Row],[  45-49 ]]</f>
        <v>6330</v>
      </c>
      <c r="L6" s="5">
        <f>Table341011121318141516[[#This Row],[  50-54]]-Table3410111213181415[[#This Row],[  50-54]]</f>
        <v>6710</v>
      </c>
      <c r="M6" s="5">
        <f>Table341011121318141516[[#This Row],[  55-59]]-Table3410111213181415[[#This Row],[  55-59]]</f>
        <v>6790</v>
      </c>
      <c r="N6" s="5">
        <f>Table341011121318141516[[#This Row],[  60-64]]-Table3410111213181415[[#This Row],[  60-64]]</f>
        <v>6620</v>
      </c>
      <c r="O6" s="5">
        <f>Table341011121318141516[[#This Row],[  65-69]]-Table3410111213181415[[#This Row],[  65-69]]</f>
        <v>6430</v>
      </c>
      <c r="P6" s="5">
        <f>Table341011121318141516[[#This Row],[  70-74]]-Table3410111213181415[[#This Row],[  70-74]]</f>
        <v>6340</v>
      </c>
      <c r="Q6" s="5">
        <f>Table341011121318141516[[#This Row],[  75-79]]-Table3410111213181415[[#This Row],[  75-79]]</f>
        <v>4540</v>
      </c>
      <c r="R6" s="5">
        <f>Table341011121318141516[[#This Row],[  80-84]]-Table3410111213181415[[#This Row],[  80-84]]</f>
        <v>3220</v>
      </c>
      <c r="S6" s="5">
        <f>Table341011121318141516[[#This Row],[  85-89]]-Table3410111213181415[[#This Row],[  85-89]]</f>
        <v>1560</v>
      </c>
      <c r="T6" s="5">
        <f>Table341011121318141516[[#This Row],[  90+]]-Table3410111213181415[[#This Row],[  90+]]</f>
        <v>870</v>
      </c>
    </row>
    <row r="7" spans="1:20" ht="15" x14ac:dyDescent="0.2">
      <c r="A7" s="8" t="s">
        <v>2</v>
      </c>
      <c r="B7" s="6" t="s">
        <v>23</v>
      </c>
      <c r="C7" s="5">
        <f>Table341011121318141516[[#This Row],[Total]]-Table3410111213181415[[#This Row],[Total]]</f>
        <v>96860</v>
      </c>
      <c r="D7" s="5">
        <f>Table341011121318141516[[#This Row],[  5-11]]-Table3410111213181415[[#This Row],[  5-11]]</f>
        <v>9702.9212080063717</v>
      </c>
      <c r="E7" s="5">
        <f>Table341011121318141516[[#This Row],[  12-17]]-Table3410111213181415[[#This Row],[  12-17]]</f>
        <v>4574.5312149824313</v>
      </c>
      <c r="F7" s="5">
        <f>Table341011121318141516[[#This Row],[  18-24]]-Table3410111213181415[[#This Row],[  18-24]]</f>
        <v>3932.5475770111989</v>
      </c>
      <c r="G7" s="5">
        <f>Table341011121318141516[[#This Row],[  25-29 ]]-Table3410111213181415[[#This Row],[  25-29 ]]</f>
        <v>4980</v>
      </c>
      <c r="H7" s="5">
        <f>Table341011121318141516[[#This Row],[  30-34]]-Table3410111213181415[[#This Row],[  30-34]]</f>
        <v>6320</v>
      </c>
      <c r="I7" s="5">
        <f>Table341011121318141516[[#This Row],[  35-39]]-Table3410111213181415[[#This Row],[  35-39]]</f>
        <v>6230</v>
      </c>
      <c r="J7" s="5">
        <f>Table341011121318141516[[#This Row],[  40-44]]-Table3410111213181415[[#This Row],[  40-44]]</f>
        <v>6030</v>
      </c>
      <c r="K7" s="5">
        <f>Table341011121318141516[[#This Row],[  45-49 ]]-Table3410111213181415[[#This Row],[  45-49 ]]</f>
        <v>6860</v>
      </c>
      <c r="L7" s="5">
        <f>Table341011121318141516[[#This Row],[  50-54]]-Table3410111213181415[[#This Row],[  50-54]]</f>
        <v>7190</v>
      </c>
      <c r="M7" s="5">
        <f>Table341011121318141516[[#This Row],[  55-59]]-Table3410111213181415[[#This Row],[  55-59]]</f>
        <v>7320</v>
      </c>
      <c r="N7" s="5">
        <f>Table341011121318141516[[#This Row],[  60-64]]-Table3410111213181415[[#This Row],[  60-64]]</f>
        <v>7460</v>
      </c>
      <c r="O7" s="5">
        <f>Table341011121318141516[[#This Row],[  65-69]]-Table3410111213181415[[#This Row],[  65-69]]</f>
        <v>7110</v>
      </c>
      <c r="P7" s="5">
        <f>Table341011121318141516[[#This Row],[  70-74]]-Table3410111213181415[[#This Row],[  70-74]]</f>
        <v>6770</v>
      </c>
      <c r="Q7" s="5">
        <f>Table341011121318141516[[#This Row],[  75-79]]-Table3410111213181415[[#This Row],[  75-79]]</f>
        <v>5110</v>
      </c>
      <c r="R7" s="5">
        <f>Table341011121318141516[[#This Row],[  80-84]]-Table3410111213181415[[#This Row],[  80-84]]</f>
        <v>3710</v>
      </c>
      <c r="S7" s="5">
        <f>Table341011121318141516[[#This Row],[  85-89]]-Table3410111213181415[[#This Row],[  85-89]]</f>
        <v>2120</v>
      </c>
      <c r="T7" s="5">
        <f>Table341011121318141516[[#This Row],[  90+]]-Table3410111213181415[[#This Row],[  90+]]</f>
        <v>1440</v>
      </c>
    </row>
    <row r="8" spans="1:20" x14ac:dyDescent="0.2">
      <c r="A8" s="9" t="s">
        <v>3</v>
      </c>
      <c r="B8" s="6" t="s">
        <v>22</v>
      </c>
      <c r="C8" s="5">
        <f>Table341011121318141516[[#This Row],[Total]]-Table3410111213181415[[#This Row],[Total]]</f>
        <v>499650</v>
      </c>
      <c r="D8" s="5">
        <f>Table341011121318141516[[#This Row],[  5-11]]-Table3410111213181415[[#This Row],[  5-11]]</f>
        <v>59156.268000787037</v>
      </c>
      <c r="E8" s="5">
        <f>Table341011121318141516[[#This Row],[  12-17]]-Table3410111213181415[[#This Row],[  12-17]]</f>
        <v>33277.768641917377</v>
      </c>
      <c r="F8" s="5">
        <f>Table341011121318141516[[#This Row],[  18-24]]-Table3410111213181415[[#This Row],[  18-24]]</f>
        <v>30355.963357295583</v>
      </c>
      <c r="G8" s="5">
        <f>Table341011121318141516[[#This Row],[  25-29 ]]-Table3410111213181415[[#This Row],[  25-29 ]]</f>
        <v>36620</v>
      </c>
      <c r="H8" s="5">
        <f>Table341011121318141516[[#This Row],[  30-34]]-Table3410111213181415[[#This Row],[  30-34]]</f>
        <v>40470</v>
      </c>
      <c r="I8" s="5">
        <f>Table341011121318141516[[#This Row],[  35-39]]-Table3410111213181415[[#This Row],[  35-39]]</f>
        <v>36180</v>
      </c>
      <c r="J8" s="5">
        <f>Table341011121318141516[[#This Row],[  40-44]]-Table3410111213181415[[#This Row],[  40-44]]</f>
        <v>34110</v>
      </c>
      <c r="K8" s="5">
        <f>Table341011121318141516[[#This Row],[  45-49 ]]-Table3410111213181415[[#This Row],[  45-49 ]]</f>
        <v>35310</v>
      </c>
      <c r="L8" s="5">
        <f>Table341011121318141516[[#This Row],[  50-54]]-Table3410111213181415[[#This Row],[  50-54]]</f>
        <v>36440</v>
      </c>
      <c r="M8" s="5">
        <f>Table341011121318141516[[#This Row],[  55-59]]-Table3410111213181415[[#This Row],[  55-59]]</f>
        <v>34820</v>
      </c>
      <c r="N8" s="5">
        <f>Table341011121318141516[[#This Row],[  60-64]]-Table3410111213181415[[#This Row],[  60-64]]</f>
        <v>32590</v>
      </c>
      <c r="O8" s="5">
        <f>Table341011121318141516[[#This Row],[  65-69]]-Table3410111213181415[[#This Row],[  65-69]]</f>
        <v>27470</v>
      </c>
      <c r="P8" s="5">
        <f>Table341011121318141516[[#This Row],[  70-74]]-Table3410111213181415[[#This Row],[  70-74]]</f>
        <v>23890</v>
      </c>
      <c r="Q8" s="5">
        <f>Table341011121318141516[[#This Row],[  75-79]]-Table3410111213181415[[#This Row],[  75-79]]</f>
        <v>16270</v>
      </c>
      <c r="R8" s="5">
        <f>Table341011121318141516[[#This Row],[  80-84]]-Table3410111213181415[[#This Row],[  80-84]]</f>
        <v>11710</v>
      </c>
      <c r="S8" s="5">
        <f>Table341011121318141516[[#This Row],[  85-89]]-Table3410111213181415[[#This Row],[  85-89]]</f>
        <v>6730</v>
      </c>
      <c r="T8" s="5">
        <f>Table341011121318141516[[#This Row],[  90+]]-Table3410111213181415[[#This Row],[  90+]]</f>
        <v>4250</v>
      </c>
    </row>
    <row r="9" spans="1:20" x14ac:dyDescent="0.2">
      <c r="A9" s="9" t="s">
        <v>3</v>
      </c>
      <c r="B9" s="6" t="s">
        <v>0</v>
      </c>
      <c r="C9" s="5">
        <f>Table341011121318141516[[#This Row],[Total]]-Table3410111213181415[[#This Row],[Total]]</f>
        <v>250270</v>
      </c>
      <c r="D9" s="5">
        <f>Table341011121318141516[[#This Row],[  5-11]]-Table3410111213181415[[#This Row],[  5-11]]</f>
        <v>30878.772613368968</v>
      </c>
      <c r="E9" s="5">
        <f>Table341011121318141516[[#This Row],[  12-17]]-Table3410111213181415[[#This Row],[  12-17]]</f>
        <v>17428.73780979482</v>
      </c>
      <c r="F9" s="5">
        <f>Table341011121318141516[[#This Row],[  18-24]]-Table3410111213181415[[#This Row],[  18-24]]</f>
        <v>15862.489576836217</v>
      </c>
      <c r="G9" s="5">
        <f>Table341011121318141516[[#This Row],[  25-29 ]]-Table3410111213181415[[#This Row],[  25-29 ]]</f>
        <v>19710</v>
      </c>
      <c r="H9" s="5">
        <f>Table341011121318141516[[#This Row],[  30-34]]-Table3410111213181415[[#This Row],[  30-34]]</f>
        <v>20720</v>
      </c>
      <c r="I9" s="5">
        <f>Table341011121318141516[[#This Row],[  35-39]]-Table3410111213181415[[#This Row],[  35-39]]</f>
        <v>18460</v>
      </c>
      <c r="J9" s="5">
        <f>Table341011121318141516[[#This Row],[  40-44]]-Table3410111213181415[[#This Row],[  40-44]]</f>
        <v>17020</v>
      </c>
      <c r="K9" s="5">
        <f>Table341011121318141516[[#This Row],[  45-49 ]]-Table3410111213181415[[#This Row],[  45-49 ]]</f>
        <v>17420</v>
      </c>
      <c r="L9" s="5">
        <f>Table341011121318141516[[#This Row],[  50-54]]-Table3410111213181415[[#This Row],[  50-54]]</f>
        <v>18170</v>
      </c>
      <c r="M9" s="5">
        <f>Table341011121318141516[[#This Row],[  55-59]]-Table3410111213181415[[#This Row],[  55-59]]</f>
        <v>17050</v>
      </c>
      <c r="N9" s="5">
        <f>Table341011121318141516[[#This Row],[  60-64]]-Table3410111213181415[[#This Row],[  60-64]]</f>
        <v>15950</v>
      </c>
      <c r="O9" s="5">
        <f>Table341011121318141516[[#This Row],[  65-69]]-Table3410111213181415[[#This Row],[  65-69]]</f>
        <v>13350</v>
      </c>
      <c r="P9" s="5">
        <f>Table341011121318141516[[#This Row],[  70-74]]-Table3410111213181415[[#This Row],[  70-74]]</f>
        <v>11380</v>
      </c>
      <c r="Q9" s="5">
        <f>Table341011121318141516[[#This Row],[  75-79]]-Table3410111213181415[[#This Row],[  75-79]]</f>
        <v>7580</v>
      </c>
      <c r="R9" s="5">
        <f>Table341011121318141516[[#This Row],[  80-84]]-Table3410111213181415[[#This Row],[  80-84]]</f>
        <v>5130</v>
      </c>
      <c r="S9" s="5">
        <f>Table341011121318141516[[#This Row],[  85-89]]-Table3410111213181415[[#This Row],[  85-89]]</f>
        <v>2730</v>
      </c>
      <c r="T9" s="5">
        <f>Table341011121318141516[[#This Row],[  90+]]-Table3410111213181415[[#This Row],[  90+]]</f>
        <v>1430</v>
      </c>
    </row>
    <row r="10" spans="1:20" x14ac:dyDescent="0.2">
      <c r="A10" s="9" t="s">
        <v>3</v>
      </c>
      <c r="B10" s="6" t="s">
        <v>23</v>
      </c>
      <c r="C10" s="5">
        <f>Table341011121318141516[[#This Row],[Total]]-Table3410111213181415[[#This Row],[Total]]</f>
        <v>249380</v>
      </c>
      <c r="D10" s="5">
        <f>Table341011121318141516[[#This Row],[  5-11]]-Table3410111213181415[[#This Row],[  5-11]]</f>
        <v>28275.280159384994</v>
      </c>
      <c r="E10" s="5">
        <f>Table341011121318141516[[#This Row],[  12-17]]-Table3410111213181415[[#This Row],[  12-17]]</f>
        <v>15851.697971899141</v>
      </c>
      <c r="F10" s="5">
        <f>Table341011121318141516[[#This Row],[  18-24]]-Table3410111213181415[[#This Row],[  18-24]]</f>
        <v>14493.021868715863</v>
      </c>
      <c r="G10" s="5">
        <f>Table341011121318141516[[#This Row],[  25-29 ]]-Table3410111213181415[[#This Row],[  25-29 ]]</f>
        <v>16910</v>
      </c>
      <c r="H10" s="5">
        <f>Table341011121318141516[[#This Row],[  30-34]]-Table3410111213181415[[#This Row],[  30-34]]</f>
        <v>19750</v>
      </c>
      <c r="I10" s="5">
        <f>Table341011121318141516[[#This Row],[  35-39]]-Table3410111213181415[[#This Row],[  35-39]]</f>
        <v>17720</v>
      </c>
      <c r="J10" s="5">
        <f>Table341011121318141516[[#This Row],[  40-44]]-Table3410111213181415[[#This Row],[  40-44]]</f>
        <v>17090</v>
      </c>
      <c r="K10" s="5">
        <f>Table341011121318141516[[#This Row],[  45-49 ]]-Table3410111213181415[[#This Row],[  45-49 ]]</f>
        <v>17890</v>
      </c>
      <c r="L10" s="5">
        <f>Table341011121318141516[[#This Row],[  50-54]]-Table3410111213181415[[#This Row],[  50-54]]</f>
        <v>18270</v>
      </c>
      <c r="M10" s="5">
        <f>Table341011121318141516[[#This Row],[  55-59]]-Table3410111213181415[[#This Row],[  55-59]]</f>
        <v>17770</v>
      </c>
      <c r="N10" s="5">
        <f>Table341011121318141516[[#This Row],[  60-64]]-Table3410111213181415[[#This Row],[  60-64]]</f>
        <v>16640</v>
      </c>
      <c r="O10" s="5">
        <f>Table341011121318141516[[#This Row],[  65-69]]-Table3410111213181415[[#This Row],[  65-69]]</f>
        <v>14120</v>
      </c>
      <c r="P10" s="5">
        <f>Table341011121318141516[[#This Row],[  70-74]]-Table3410111213181415[[#This Row],[  70-74]]</f>
        <v>12510</v>
      </c>
      <c r="Q10" s="5">
        <f>Table341011121318141516[[#This Row],[  75-79]]-Table3410111213181415[[#This Row],[  75-79]]</f>
        <v>8690</v>
      </c>
      <c r="R10" s="5">
        <f>Table341011121318141516[[#This Row],[  80-84]]-Table3410111213181415[[#This Row],[  80-84]]</f>
        <v>6580</v>
      </c>
      <c r="S10" s="5">
        <f>Table341011121318141516[[#This Row],[  85-89]]-Table3410111213181415[[#This Row],[  85-89]]</f>
        <v>4000</v>
      </c>
      <c r="T10" s="5">
        <f>Table341011121318141516[[#This Row],[  90+]]-Table3410111213181415[[#This Row],[  90+]]</f>
        <v>2820</v>
      </c>
    </row>
    <row r="11" spans="1:20" x14ac:dyDescent="0.2">
      <c r="A11" s="9" t="s">
        <v>4</v>
      </c>
      <c r="B11" s="6" t="s">
        <v>22</v>
      </c>
      <c r="C11" s="5">
        <f>Table341011121318141516[[#This Row],[Total]]-Table3410111213181415[[#This Row],[Total]]</f>
        <v>274360</v>
      </c>
      <c r="D11" s="5">
        <f>Table341011121318141516[[#This Row],[  5-11]]-Table3410111213181415[[#This Row],[  5-11]]</f>
        <v>34998.393889250096</v>
      </c>
      <c r="E11" s="5">
        <f>Table341011121318141516[[#This Row],[  12-17]]-Table3410111213181415[[#This Row],[  12-17]]</f>
        <v>19576.192588513102</v>
      </c>
      <c r="F11" s="5">
        <f>Table341011121318141516[[#This Row],[  18-24]]-Table3410111213181415[[#This Row],[  18-24]]</f>
        <v>17825.413522236802</v>
      </c>
      <c r="G11" s="5">
        <f>Table341011121318141516[[#This Row],[  25-29 ]]-Table3410111213181415[[#This Row],[  25-29 ]]</f>
        <v>23760</v>
      </c>
      <c r="H11" s="5">
        <f>Table341011121318141516[[#This Row],[  30-34]]-Table3410111213181415[[#This Row],[  30-34]]</f>
        <v>22220</v>
      </c>
      <c r="I11" s="5">
        <f>Table341011121318141516[[#This Row],[  35-39]]-Table3410111213181415[[#This Row],[  35-39]]</f>
        <v>20370</v>
      </c>
      <c r="J11" s="5">
        <f>Table341011121318141516[[#This Row],[  40-44]]-Table3410111213181415[[#This Row],[  40-44]]</f>
        <v>19210</v>
      </c>
      <c r="K11" s="5">
        <f>Table341011121318141516[[#This Row],[  45-49 ]]-Table3410111213181415[[#This Row],[  45-49 ]]</f>
        <v>19880</v>
      </c>
      <c r="L11" s="5">
        <f>Table341011121318141516[[#This Row],[  50-54]]-Table3410111213181415[[#This Row],[  50-54]]</f>
        <v>19490</v>
      </c>
      <c r="M11" s="5">
        <f>Table341011121318141516[[#This Row],[  55-59]]-Table3410111213181415[[#This Row],[  55-59]]</f>
        <v>18440</v>
      </c>
      <c r="N11" s="5">
        <f>Table341011121318141516[[#This Row],[  60-64]]-Table3410111213181415[[#This Row],[  60-64]]</f>
        <v>15620</v>
      </c>
      <c r="O11" s="5">
        <f>Table341011121318141516[[#This Row],[  65-69]]-Table3410111213181415[[#This Row],[  65-69]]</f>
        <v>13220</v>
      </c>
      <c r="P11" s="5">
        <f>Table341011121318141516[[#This Row],[  70-74]]-Table3410111213181415[[#This Row],[  70-74]]</f>
        <v>11200</v>
      </c>
      <c r="Q11" s="5">
        <f>Table341011121318141516[[#This Row],[  75-79]]-Table3410111213181415[[#This Row],[  75-79]]</f>
        <v>8010</v>
      </c>
      <c r="R11" s="5">
        <f>Table341011121318141516[[#This Row],[  80-84]]-Table3410111213181415[[#This Row],[  80-84]]</f>
        <v>5460</v>
      </c>
      <c r="S11" s="5">
        <f>Table341011121318141516[[#This Row],[  85-89]]-Table3410111213181415[[#This Row],[  85-89]]</f>
        <v>3210</v>
      </c>
      <c r="T11" s="5">
        <f>Table341011121318141516[[#This Row],[  90+]]-Table3410111213181415[[#This Row],[  90+]]</f>
        <v>1870</v>
      </c>
    </row>
    <row r="12" spans="1:20" x14ac:dyDescent="0.2">
      <c r="A12" s="9" t="s">
        <v>4</v>
      </c>
      <c r="B12" s="6" t="s">
        <v>0</v>
      </c>
      <c r="C12" s="5">
        <f>Table341011121318141516[[#This Row],[Total]]-Table3410111213181415[[#This Row],[Total]]</f>
        <v>133270</v>
      </c>
      <c r="D12" s="5">
        <f>Table341011121318141516[[#This Row],[  5-11]]-Table3410111213181415[[#This Row],[  5-11]]</f>
        <v>17275.779589648166</v>
      </c>
      <c r="E12" s="5">
        <f>Table341011121318141516[[#This Row],[  12-17]]-Table3410111213181415[[#This Row],[  12-17]]</f>
        <v>9681.9298695738798</v>
      </c>
      <c r="F12" s="5">
        <f>Table341011121318141516[[#This Row],[  18-24]]-Table3410111213181415[[#This Row],[  18-24]]</f>
        <v>8792.2905407779508</v>
      </c>
      <c r="G12" s="5">
        <f>Table341011121318141516[[#This Row],[  25-29 ]]-Table3410111213181415[[#This Row],[  25-29 ]]</f>
        <v>11900</v>
      </c>
      <c r="H12" s="5">
        <f>Table341011121318141516[[#This Row],[  30-34]]-Table3410111213181415[[#This Row],[  30-34]]</f>
        <v>10900</v>
      </c>
      <c r="I12" s="5">
        <f>Table341011121318141516[[#This Row],[  35-39]]-Table3410111213181415[[#This Row],[  35-39]]</f>
        <v>10040</v>
      </c>
      <c r="J12" s="5">
        <f>Table341011121318141516[[#This Row],[  40-44]]-Table3410111213181415[[#This Row],[  40-44]]</f>
        <v>9560</v>
      </c>
      <c r="K12" s="5">
        <f>Table341011121318141516[[#This Row],[  45-49 ]]-Table3410111213181415[[#This Row],[  45-49 ]]</f>
        <v>9700</v>
      </c>
      <c r="L12" s="5">
        <f>Table341011121318141516[[#This Row],[  50-54]]-Table3410111213181415[[#This Row],[  50-54]]</f>
        <v>9380</v>
      </c>
      <c r="M12" s="5">
        <f>Table341011121318141516[[#This Row],[  55-59]]-Table3410111213181415[[#This Row],[  55-59]]</f>
        <v>8990</v>
      </c>
      <c r="N12" s="5">
        <f>Table341011121318141516[[#This Row],[  60-64]]-Table3410111213181415[[#This Row],[  60-64]]</f>
        <v>7540</v>
      </c>
      <c r="O12" s="5">
        <f>Table341011121318141516[[#This Row],[  65-69]]-Table3410111213181415[[#This Row],[  65-69]]</f>
        <v>6260</v>
      </c>
      <c r="P12" s="5">
        <f>Table341011121318141516[[#This Row],[  70-74]]-Table3410111213181415[[#This Row],[  70-74]]</f>
        <v>5360</v>
      </c>
      <c r="Q12" s="5">
        <f>Table341011121318141516[[#This Row],[  75-79]]-Table3410111213181415[[#This Row],[  75-79]]</f>
        <v>3690</v>
      </c>
      <c r="R12" s="5">
        <f>Table341011121318141516[[#This Row],[  80-84]]-Table3410111213181415[[#This Row],[  80-84]]</f>
        <v>2330</v>
      </c>
      <c r="S12" s="5">
        <f>Table341011121318141516[[#This Row],[  85-89]]-Table3410111213181415[[#This Row],[  85-89]]</f>
        <v>1270</v>
      </c>
      <c r="T12" s="5">
        <f>Table341011121318141516[[#This Row],[  90+]]-Table3410111213181415[[#This Row],[  90+]]</f>
        <v>600</v>
      </c>
    </row>
    <row r="13" spans="1:20" x14ac:dyDescent="0.2">
      <c r="A13" s="9" t="s">
        <v>4</v>
      </c>
      <c r="B13" s="6" t="s">
        <v>23</v>
      </c>
      <c r="C13" s="5">
        <f>Table341011121318141516[[#This Row],[Total]]-Table3410111213181415[[#This Row],[Total]]</f>
        <v>141090</v>
      </c>
      <c r="D13" s="5">
        <f>Table341011121318141516[[#This Row],[  5-11]]-Table3410111213181415[[#This Row],[  5-11]]</f>
        <v>17722.954842736362</v>
      </c>
      <c r="E13" s="5">
        <f>Table341011121318141516[[#This Row],[  12-17]]-Table3410111213181415[[#This Row],[  12-17]]</f>
        <v>9893.6210378486558</v>
      </c>
      <c r="F13" s="5">
        <f>Table341011121318141516[[#This Row],[  18-24]]-Table3410111213181415[[#This Row],[  18-24]]</f>
        <v>9033.4241194149836</v>
      </c>
      <c r="G13" s="5">
        <f>Table341011121318141516[[#This Row],[  25-29 ]]-Table3410111213181415[[#This Row],[  25-29 ]]</f>
        <v>11860</v>
      </c>
      <c r="H13" s="5">
        <f>Table341011121318141516[[#This Row],[  30-34]]-Table3410111213181415[[#This Row],[  30-34]]</f>
        <v>11320</v>
      </c>
      <c r="I13" s="5">
        <f>Table341011121318141516[[#This Row],[  35-39]]-Table3410111213181415[[#This Row],[  35-39]]</f>
        <v>10330</v>
      </c>
      <c r="J13" s="5">
        <f>Table341011121318141516[[#This Row],[  40-44]]-Table3410111213181415[[#This Row],[  40-44]]</f>
        <v>9650</v>
      </c>
      <c r="K13" s="5">
        <f>Table341011121318141516[[#This Row],[  45-49 ]]-Table3410111213181415[[#This Row],[  45-49 ]]</f>
        <v>10180</v>
      </c>
      <c r="L13" s="5">
        <f>Table341011121318141516[[#This Row],[  50-54]]-Table3410111213181415[[#This Row],[  50-54]]</f>
        <v>10110</v>
      </c>
      <c r="M13" s="5">
        <f>Table341011121318141516[[#This Row],[  55-59]]-Table3410111213181415[[#This Row],[  55-59]]</f>
        <v>9450</v>
      </c>
      <c r="N13" s="5">
        <f>Table341011121318141516[[#This Row],[  60-64]]-Table3410111213181415[[#This Row],[  60-64]]</f>
        <v>8080</v>
      </c>
      <c r="O13" s="5">
        <f>Table341011121318141516[[#This Row],[  65-69]]-Table3410111213181415[[#This Row],[  65-69]]</f>
        <v>6960</v>
      </c>
      <c r="P13" s="5">
        <f>Table341011121318141516[[#This Row],[  70-74]]-Table3410111213181415[[#This Row],[  70-74]]</f>
        <v>5840</v>
      </c>
      <c r="Q13" s="5">
        <f>Table341011121318141516[[#This Row],[  75-79]]-Table3410111213181415[[#This Row],[  75-79]]</f>
        <v>4320</v>
      </c>
      <c r="R13" s="5">
        <f>Table341011121318141516[[#This Row],[  80-84]]-Table3410111213181415[[#This Row],[  80-84]]</f>
        <v>3130</v>
      </c>
      <c r="S13" s="5">
        <f>Table341011121318141516[[#This Row],[  85-89]]-Table3410111213181415[[#This Row],[  85-89]]</f>
        <v>1940</v>
      </c>
      <c r="T13" s="5">
        <f>Table341011121318141516[[#This Row],[  90+]]-Table3410111213181415[[#This Row],[  90+]]</f>
        <v>1270</v>
      </c>
    </row>
    <row r="14" spans="1:20" x14ac:dyDescent="0.2">
      <c r="A14" s="9" t="s">
        <v>5</v>
      </c>
      <c r="B14" s="6" t="s">
        <v>22</v>
      </c>
      <c r="C14" s="5">
        <f>Table341011121318141516[[#This Row],[Total]]-Table3410111213181415[[#This Row],[Total]]</f>
        <v>469800</v>
      </c>
      <c r="D14" s="5">
        <f>Table341011121318141516[[#This Row],[  5-11]]-Table3410111213181415[[#This Row],[  5-11]]</f>
        <v>65539.030849131435</v>
      </c>
      <c r="E14" s="5">
        <f>Table341011121318141516[[#This Row],[  12-17]]-Table3410111213181415[[#This Row],[  12-17]]</f>
        <v>35526.961108168864</v>
      </c>
      <c r="F14" s="5">
        <f>Table341011121318141516[[#This Row],[  18-24]]-Table3410111213181415[[#This Row],[  18-24]]</f>
        <v>32024.008042699694</v>
      </c>
      <c r="G14" s="5">
        <f>Table341011121318141516[[#This Row],[  25-29 ]]-Table3410111213181415[[#This Row],[  25-29 ]]</f>
        <v>39540</v>
      </c>
      <c r="H14" s="5">
        <f>Table341011121318141516[[#This Row],[  30-34]]-Table3410111213181415[[#This Row],[  30-34]]</f>
        <v>40070</v>
      </c>
      <c r="I14" s="5">
        <f>Table341011121318141516[[#This Row],[  35-39]]-Table3410111213181415[[#This Row],[  35-39]]</f>
        <v>37170</v>
      </c>
      <c r="J14" s="5">
        <f>Table341011121318141516[[#This Row],[  40-44]]-Table3410111213181415[[#This Row],[  40-44]]</f>
        <v>32610</v>
      </c>
      <c r="K14" s="5">
        <f>Table341011121318141516[[#This Row],[  45-49 ]]-Table3410111213181415[[#This Row],[  45-49 ]]</f>
        <v>32050</v>
      </c>
      <c r="L14" s="5">
        <f>Table341011121318141516[[#This Row],[  50-54]]-Table3410111213181415[[#This Row],[  50-54]]</f>
        <v>32570</v>
      </c>
      <c r="M14" s="5">
        <f>Table341011121318141516[[#This Row],[  55-59]]-Table3410111213181415[[#This Row],[  55-59]]</f>
        <v>30980</v>
      </c>
      <c r="N14" s="5">
        <f>Table341011121318141516[[#This Row],[  60-64]]-Table3410111213181415[[#This Row],[  60-64]]</f>
        <v>26410</v>
      </c>
      <c r="O14" s="5">
        <f>Table341011121318141516[[#This Row],[  65-69]]-Table3410111213181415[[#This Row],[  65-69]]</f>
        <v>21570</v>
      </c>
      <c r="P14" s="5">
        <f>Table341011121318141516[[#This Row],[  70-74]]-Table3410111213181415[[#This Row],[  70-74]]</f>
        <v>17330</v>
      </c>
      <c r="Q14" s="5">
        <f>Table341011121318141516[[#This Row],[  75-79]]-Table3410111213181415[[#This Row],[  75-79]]</f>
        <v>11970</v>
      </c>
      <c r="R14" s="5">
        <f>Table341011121318141516[[#This Row],[  80-84]]-Table3410111213181415[[#This Row],[  80-84]]</f>
        <v>8020</v>
      </c>
      <c r="S14" s="5">
        <f>Table341011121318141516[[#This Row],[  85-89]]-Table3410111213181415[[#This Row],[  85-89]]</f>
        <v>4070</v>
      </c>
      <c r="T14" s="5">
        <f>Table341011121318141516[[#This Row],[  90+]]-Table3410111213181415[[#This Row],[  90+]]</f>
        <v>2350</v>
      </c>
    </row>
    <row r="15" spans="1:20" x14ac:dyDescent="0.2">
      <c r="A15" s="9" t="s">
        <v>5</v>
      </c>
      <c r="B15" s="6" t="s">
        <v>0</v>
      </c>
      <c r="C15" s="5">
        <f>Table341011121318141516[[#This Row],[Total]]-Table3410111213181415[[#This Row],[Total]]</f>
        <v>235420</v>
      </c>
      <c r="D15" s="5">
        <f>Table341011121318141516[[#This Row],[  5-11]]-Table3410111213181415[[#This Row],[  5-11]]</f>
        <v>33977.224447165296</v>
      </c>
      <c r="E15" s="5">
        <f>Table341011121318141516[[#This Row],[  12-17]]-Table3410111213181415[[#This Row],[  12-17]]</f>
        <v>18489.777139084952</v>
      </c>
      <c r="F15" s="5">
        <f>Table341011121318141516[[#This Row],[  18-24]]-Table3410111213181415[[#This Row],[  18-24]]</f>
        <v>16632.998413749756</v>
      </c>
      <c r="G15" s="5">
        <f>Table341011121318141516[[#This Row],[  25-29 ]]-Table3410111213181415[[#This Row],[  25-29 ]]</f>
        <v>20620</v>
      </c>
      <c r="H15" s="5">
        <f>Table341011121318141516[[#This Row],[  30-34]]-Table3410111213181415[[#This Row],[  30-34]]</f>
        <v>20010</v>
      </c>
      <c r="I15" s="5">
        <f>Table341011121318141516[[#This Row],[  35-39]]-Table3410111213181415[[#This Row],[  35-39]]</f>
        <v>18300</v>
      </c>
      <c r="J15" s="5">
        <f>Table341011121318141516[[#This Row],[  40-44]]-Table3410111213181415[[#This Row],[  40-44]]</f>
        <v>16340</v>
      </c>
      <c r="K15" s="5">
        <f>Table341011121318141516[[#This Row],[  45-49 ]]-Table3410111213181415[[#This Row],[  45-49 ]]</f>
        <v>15860</v>
      </c>
      <c r="L15" s="5">
        <f>Table341011121318141516[[#This Row],[  50-54]]-Table3410111213181415[[#This Row],[  50-54]]</f>
        <v>16090</v>
      </c>
      <c r="M15" s="5">
        <f>Table341011121318141516[[#This Row],[  55-59]]-Table3410111213181415[[#This Row],[  55-59]]</f>
        <v>15450</v>
      </c>
      <c r="N15" s="5">
        <f>Table341011121318141516[[#This Row],[  60-64]]-Table3410111213181415[[#This Row],[  60-64]]</f>
        <v>12910</v>
      </c>
      <c r="O15" s="5">
        <f>Table341011121318141516[[#This Row],[  65-69]]-Table3410111213181415[[#This Row],[  65-69]]</f>
        <v>10520</v>
      </c>
      <c r="P15" s="5">
        <f>Table341011121318141516[[#This Row],[  70-74]]-Table3410111213181415[[#This Row],[  70-74]]</f>
        <v>8480</v>
      </c>
      <c r="Q15" s="5">
        <f>Table341011121318141516[[#This Row],[  75-79]]-Table3410111213181415[[#This Row],[  75-79]]</f>
        <v>5640</v>
      </c>
      <c r="R15" s="5">
        <f>Table341011121318141516[[#This Row],[  80-84]]-Table3410111213181415[[#This Row],[  80-84]]</f>
        <v>3640</v>
      </c>
      <c r="S15" s="5">
        <f>Table341011121318141516[[#This Row],[  85-89]]-Table3410111213181415[[#This Row],[  85-89]]</f>
        <v>1630</v>
      </c>
      <c r="T15" s="5">
        <f>Table341011121318141516[[#This Row],[  90+]]-Table3410111213181415[[#This Row],[  90+]]</f>
        <v>830</v>
      </c>
    </row>
    <row r="16" spans="1:20" x14ac:dyDescent="0.2">
      <c r="A16" s="9" t="s">
        <v>5</v>
      </c>
      <c r="B16" s="6" t="s">
        <v>23</v>
      </c>
      <c r="C16" s="5">
        <f>Table341011121318141516[[#This Row],[Total]]-Table3410111213181415[[#This Row],[Total]]</f>
        <v>234380</v>
      </c>
      <c r="D16" s="5">
        <f>Table341011121318141516[[#This Row],[  5-11]]-Table3410111213181415[[#This Row],[  5-11]]</f>
        <v>31559.410789792943</v>
      </c>
      <c r="E16" s="5">
        <f>Table341011121318141516[[#This Row],[  12-17]]-Table3410111213181415[[#This Row],[  12-17]]</f>
        <v>17039.860772131135</v>
      </c>
      <c r="F16" s="5">
        <f>Table341011121318141516[[#This Row],[  18-24]]-Table3410111213181415[[#This Row],[  18-24]]</f>
        <v>15390.728438075923</v>
      </c>
      <c r="G16" s="5">
        <f>Table341011121318141516[[#This Row],[  25-29 ]]-Table3410111213181415[[#This Row],[  25-29 ]]</f>
        <v>18920</v>
      </c>
      <c r="H16" s="5">
        <f>Table341011121318141516[[#This Row],[  30-34]]-Table3410111213181415[[#This Row],[  30-34]]</f>
        <v>20060</v>
      </c>
      <c r="I16" s="5">
        <f>Table341011121318141516[[#This Row],[  35-39]]-Table3410111213181415[[#This Row],[  35-39]]</f>
        <v>18870</v>
      </c>
      <c r="J16" s="5">
        <f>Table341011121318141516[[#This Row],[  40-44]]-Table3410111213181415[[#This Row],[  40-44]]</f>
        <v>16270</v>
      </c>
      <c r="K16" s="5">
        <f>Table341011121318141516[[#This Row],[  45-49 ]]-Table3410111213181415[[#This Row],[  45-49 ]]</f>
        <v>16190</v>
      </c>
      <c r="L16" s="5">
        <f>Table341011121318141516[[#This Row],[  50-54]]-Table3410111213181415[[#This Row],[  50-54]]</f>
        <v>16480</v>
      </c>
      <c r="M16" s="5">
        <f>Table341011121318141516[[#This Row],[  55-59]]-Table3410111213181415[[#This Row],[  55-59]]</f>
        <v>15530</v>
      </c>
      <c r="N16" s="5">
        <f>Table341011121318141516[[#This Row],[  60-64]]-Table3410111213181415[[#This Row],[  60-64]]</f>
        <v>13500</v>
      </c>
      <c r="O16" s="5">
        <f>Table341011121318141516[[#This Row],[  65-69]]-Table3410111213181415[[#This Row],[  65-69]]</f>
        <v>11050</v>
      </c>
      <c r="P16" s="5">
        <f>Table341011121318141516[[#This Row],[  70-74]]-Table3410111213181415[[#This Row],[  70-74]]</f>
        <v>8850</v>
      </c>
      <c r="Q16" s="5">
        <f>Table341011121318141516[[#This Row],[  75-79]]-Table3410111213181415[[#This Row],[  75-79]]</f>
        <v>6330</v>
      </c>
      <c r="R16" s="5">
        <f>Table341011121318141516[[#This Row],[  80-84]]-Table3410111213181415[[#This Row],[  80-84]]</f>
        <v>4380</v>
      </c>
      <c r="S16" s="5">
        <f>Table341011121318141516[[#This Row],[  85-89]]-Table3410111213181415[[#This Row],[  85-89]]</f>
        <v>2440</v>
      </c>
      <c r="T16" s="5">
        <f>Table341011121318141516[[#This Row],[  90+]]-Table3410111213181415[[#This Row],[  90+]]</f>
        <v>1520</v>
      </c>
    </row>
    <row r="17" spans="1:20" x14ac:dyDescent="0.2">
      <c r="A17" s="12" t="s">
        <v>6</v>
      </c>
      <c r="B17" s="6" t="s">
        <v>22</v>
      </c>
      <c r="C17" s="5">
        <f>Table341011121318141516[[#This Row],[Total]]-Table3410111213181415[[#This Row],[Total]]</f>
        <v>124340</v>
      </c>
      <c r="D17" s="5">
        <f>Table341011121318141516[[#This Row],[  5-11]]-Table3410111213181415[[#This Row],[  5-11]]</f>
        <v>14178.401377281774</v>
      </c>
      <c r="E17" s="5">
        <f>Table341011121318141516[[#This Row],[  12-17]]-Table3410111213181415[[#This Row],[  12-17]]</f>
        <v>6652.1475475325788</v>
      </c>
      <c r="F17" s="5">
        <f>Table341011121318141516[[#This Row],[  18-24]]-Table3410111213181415[[#This Row],[  18-24]]</f>
        <v>5689.4510751856451</v>
      </c>
      <c r="G17" s="5">
        <f>Table341011121318141516[[#This Row],[  25-29 ]]-Table3410111213181415[[#This Row],[  25-29 ]]</f>
        <v>6920</v>
      </c>
      <c r="H17" s="5">
        <f>Table341011121318141516[[#This Row],[  30-34]]-Table3410111213181415[[#This Row],[  30-34]]</f>
        <v>7620</v>
      </c>
      <c r="I17" s="5">
        <f>Table341011121318141516[[#This Row],[  35-39]]-Table3410111213181415[[#This Row],[  35-39]]</f>
        <v>7230</v>
      </c>
      <c r="J17" s="5">
        <f>Table341011121318141516[[#This Row],[  40-44]]-Table3410111213181415[[#This Row],[  40-44]]</f>
        <v>7570</v>
      </c>
      <c r="K17" s="5">
        <f>Table341011121318141516[[#This Row],[  45-49 ]]-Table3410111213181415[[#This Row],[  45-49 ]]</f>
        <v>8870</v>
      </c>
      <c r="L17" s="5">
        <f>Table341011121318141516[[#This Row],[  50-54]]-Table3410111213181415[[#This Row],[  50-54]]</f>
        <v>9470</v>
      </c>
      <c r="M17" s="5">
        <f>Table341011121318141516[[#This Row],[  55-59]]-Table3410111213181415[[#This Row],[  55-59]]</f>
        <v>9710</v>
      </c>
      <c r="N17" s="5">
        <f>Table341011121318141516[[#This Row],[  60-64]]-Table3410111213181415[[#This Row],[  60-64]]</f>
        <v>9490</v>
      </c>
      <c r="O17" s="5">
        <f>Table341011121318141516[[#This Row],[  65-69]]-Table3410111213181415[[#This Row],[  65-69]]</f>
        <v>8810</v>
      </c>
      <c r="P17" s="5">
        <f>Table341011121318141516[[#This Row],[  70-74]]-Table3410111213181415[[#This Row],[  70-74]]</f>
        <v>8490</v>
      </c>
      <c r="Q17" s="5">
        <f>Table341011121318141516[[#This Row],[  75-79]]-Table3410111213181415[[#This Row],[  75-79]]</f>
        <v>5960</v>
      </c>
      <c r="R17" s="5">
        <f>Table341011121318141516[[#This Row],[  80-84]]-Table3410111213181415[[#This Row],[  80-84]]</f>
        <v>4090</v>
      </c>
      <c r="S17" s="5">
        <f>Table341011121318141516[[#This Row],[  85-89]]-Table3410111213181415[[#This Row],[  85-89]]</f>
        <v>2280</v>
      </c>
      <c r="T17" s="5">
        <f>Table341011121318141516[[#This Row],[  90+]]-Table3410111213181415[[#This Row],[  90+]]</f>
        <v>1310</v>
      </c>
    </row>
    <row r="18" spans="1:20" x14ac:dyDescent="0.2">
      <c r="A18" s="9" t="s">
        <v>6</v>
      </c>
      <c r="B18" s="6" t="s">
        <v>0</v>
      </c>
      <c r="C18" s="5">
        <f>Table341011121318141516[[#This Row],[Total]]-Table3410111213181415[[#This Row],[Total]]</f>
        <v>61140</v>
      </c>
      <c r="D18" s="5">
        <f>Table341011121318141516[[#This Row],[  5-11]]-Table3410111213181415[[#This Row],[  5-11]]</f>
        <v>7229.6976963145808</v>
      </c>
      <c r="E18" s="5">
        <f>Table341011121318141516[[#This Row],[  12-17]]-Table3410111213181415[[#This Row],[  12-17]]</f>
        <v>3426.8866758754752</v>
      </c>
      <c r="F18" s="5">
        <f>Table341011121318141516[[#This Row],[  18-24]]-Table3410111213181415[[#This Row],[  18-24]]</f>
        <v>2933.4156278099431</v>
      </c>
      <c r="G18" s="5">
        <f>Table341011121318141516[[#This Row],[  25-29 ]]-Table3410111213181415[[#This Row],[  25-29 ]]</f>
        <v>3670</v>
      </c>
      <c r="H18" s="5">
        <f>Table341011121318141516[[#This Row],[  30-34]]-Table3410111213181415[[#This Row],[  30-34]]</f>
        <v>3880</v>
      </c>
      <c r="I18" s="5">
        <f>Table341011121318141516[[#This Row],[  35-39]]-Table3410111213181415[[#This Row],[  35-39]]</f>
        <v>3630</v>
      </c>
      <c r="J18" s="5">
        <f>Table341011121318141516[[#This Row],[  40-44]]-Table3410111213181415[[#This Row],[  40-44]]</f>
        <v>3700</v>
      </c>
      <c r="K18" s="5">
        <f>Table341011121318141516[[#This Row],[  45-49 ]]-Table3410111213181415[[#This Row],[  45-49 ]]</f>
        <v>4350</v>
      </c>
      <c r="L18" s="5">
        <f>Table341011121318141516[[#This Row],[  50-54]]-Table3410111213181415[[#This Row],[  50-54]]</f>
        <v>4610</v>
      </c>
      <c r="M18" s="5">
        <f>Table341011121318141516[[#This Row],[  55-59]]-Table3410111213181415[[#This Row],[  55-59]]</f>
        <v>4680</v>
      </c>
      <c r="N18" s="5">
        <f>Table341011121318141516[[#This Row],[  60-64]]-Table3410111213181415[[#This Row],[  60-64]]</f>
        <v>4610</v>
      </c>
      <c r="O18" s="5">
        <f>Table341011121318141516[[#This Row],[  65-69]]-Table3410111213181415[[#This Row],[  65-69]]</f>
        <v>4200</v>
      </c>
      <c r="P18" s="5">
        <f>Table341011121318141516[[#This Row],[  70-74]]-Table3410111213181415[[#This Row],[  70-74]]</f>
        <v>4060</v>
      </c>
      <c r="Q18" s="5">
        <f>Table341011121318141516[[#This Row],[  75-79]]-Table3410111213181415[[#This Row],[  75-79]]</f>
        <v>2900</v>
      </c>
      <c r="R18" s="5">
        <f>Table341011121318141516[[#This Row],[  80-84]]-Table3410111213181415[[#This Row],[  80-84]]</f>
        <v>1840</v>
      </c>
      <c r="S18" s="5">
        <f>Table341011121318141516[[#This Row],[  85-89]]-Table3410111213181415[[#This Row],[  85-89]]</f>
        <v>950</v>
      </c>
      <c r="T18" s="5">
        <f>Table341011121318141516[[#This Row],[  90+]]-Table3410111213181415[[#This Row],[  90+]]</f>
        <v>470</v>
      </c>
    </row>
    <row r="19" spans="1:20" x14ac:dyDescent="0.2">
      <c r="A19" s="9" t="s">
        <v>6</v>
      </c>
      <c r="B19" s="6" t="s">
        <v>23</v>
      </c>
      <c r="C19" s="5">
        <f>Table341011121318141516[[#This Row],[Total]]-Table3410111213181415[[#This Row],[Total]]</f>
        <v>63200</v>
      </c>
      <c r="D19" s="5">
        <f>Table341011121318141516[[#This Row],[  5-11]]-Table3410111213181415[[#This Row],[  5-11]]</f>
        <v>6948.5183637544196</v>
      </c>
      <c r="E19" s="5">
        <f>Table341011121318141516[[#This Row],[  12-17]]-Table3410111213181415[[#This Row],[  12-17]]</f>
        <v>3225.7133484185074</v>
      </c>
      <c r="F19" s="5">
        <f>Table341011121318141516[[#This Row],[  18-24]]-Table3410111213181415[[#This Row],[  18-24]]</f>
        <v>2755.7682878270743</v>
      </c>
      <c r="G19" s="5">
        <f>Table341011121318141516[[#This Row],[  25-29 ]]-Table3410111213181415[[#This Row],[  25-29 ]]</f>
        <v>3250</v>
      </c>
      <c r="H19" s="5">
        <f>Table341011121318141516[[#This Row],[  30-34]]-Table3410111213181415[[#This Row],[  30-34]]</f>
        <v>3740</v>
      </c>
      <c r="I19" s="5">
        <f>Table341011121318141516[[#This Row],[  35-39]]-Table3410111213181415[[#This Row],[  35-39]]</f>
        <v>3600</v>
      </c>
      <c r="J19" s="5">
        <f>Table341011121318141516[[#This Row],[  40-44]]-Table3410111213181415[[#This Row],[  40-44]]</f>
        <v>3870</v>
      </c>
      <c r="K19" s="5">
        <f>Table341011121318141516[[#This Row],[  45-49 ]]-Table3410111213181415[[#This Row],[  45-49 ]]</f>
        <v>4520</v>
      </c>
      <c r="L19" s="5">
        <f>Table341011121318141516[[#This Row],[  50-54]]-Table3410111213181415[[#This Row],[  50-54]]</f>
        <v>4860</v>
      </c>
      <c r="M19" s="5">
        <f>Table341011121318141516[[#This Row],[  55-59]]-Table3410111213181415[[#This Row],[  55-59]]</f>
        <v>5030</v>
      </c>
      <c r="N19" s="5">
        <f>Table341011121318141516[[#This Row],[  60-64]]-Table3410111213181415[[#This Row],[  60-64]]</f>
        <v>4880</v>
      </c>
      <c r="O19" s="5">
        <f>Table341011121318141516[[#This Row],[  65-69]]-Table3410111213181415[[#This Row],[  65-69]]</f>
        <v>4610</v>
      </c>
      <c r="P19" s="5">
        <f>Table341011121318141516[[#This Row],[  70-74]]-Table3410111213181415[[#This Row],[  70-74]]</f>
        <v>4430</v>
      </c>
      <c r="Q19" s="5">
        <f>Table341011121318141516[[#This Row],[  75-79]]-Table3410111213181415[[#This Row],[  75-79]]</f>
        <v>3060</v>
      </c>
      <c r="R19" s="5">
        <f>Table341011121318141516[[#This Row],[  80-84]]-Table3410111213181415[[#This Row],[  80-84]]</f>
        <v>2250</v>
      </c>
      <c r="S19" s="5">
        <f>Table341011121318141516[[#This Row],[  85-89]]-Table3410111213181415[[#This Row],[  85-89]]</f>
        <v>1330</v>
      </c>
      <c r="T19" s="5">
        <f>Table341011121318141516[[#This Row],[  90+]]-Table3410111213181415[[#This Row],[  90+]]</f>
        <v>840</v>
      </c>
    </row>
    <row r="20" spans="1:20" x14ac:dyDescent="0.2">
      <c r="A20" s="9" t="s">
        <v>7</v>
      </c>
      <c r="B20" s="6" t="s">
        <v>22</v>
      </c>
      <c r="C20" s="5">
        <f>Table341011121318141516[[#This Row],[Total]]-Table3410111213181415[[#This Row],[Total]]</f>
        <v>123560</v>
      </c>
      <c r="D20" s="5">
        <f>Table341011121318141516[[#This Row],[  5-11]]-Table3410111213181415[[#This Row],[  5-11]]</f>
        <v>14275.425262726518</v>
      </c>
      <c r="E20" s="5">
        <f>Table341011121318141516[[#This Row],[  12-17]]-Table3410111213181415[[#This Row],[  12-17]]</f>
        <v>7524.9362454629318</v>
      </c>
      <c r="F20" s="5">
        <f>Table341011121318141516[[#This Row],[  18-24]]-Table3410111213181415[[#This Row],[  18-24]]</f>
        <v>6719.6384918105505</v>
      </c>
      <c r="G20" s="5">
        <f>Table341011121318141516[[#This Row],[  25-29 ]]-Table3410111213181415[[#This Row],[  25-29 ]]</f>
        <v>8560</v>
      </c>
      <c r="H20" s="5">
        <f>Table341011121318141516[[#This Row],[  30-34]]-Table3410111213181415[[#This Row],[  30-34]]</f>
        <v>10130</v>
      </c>
      <c r="I20" s="5">
        <f>Table341011121318141516[[#This Row],[  35-39]]-Table3410111213181415[[#This Row],[  35-39]]</f>
        <v>9860</v>
      </c>
      <c r="J20" s="5">
        <f>Table341011121318141516[[#This Row],[  40-44]]-Table3410111213181415[[#This Row],[  40-44]]</f>
        <v>8860</v>
      </c>
      <c r="K20" s="5">
        <f>Table341011121318141516[[#This Row],[  45-49 ]]-Table3410111213181415[[#This Row],[  45-49 ]]</f>
        <v>9060</v>
      </c>
      <c r="L20" s="5">
        <f>Table341011121318141516[[#This Row],[  50-54]]-Table3410111213181415[[#This Row],[  50-54]]</f>
        <v>9330</v>
      </c>
      <c r="M20" s="5">
        <f>Table341011121318141516[[#This Row],[  55-59]]-Table3410111213181415[[#This Row],[  55-59]]</f>
        <v>8810</v>
      </c>
      <c r="N20" s="5">
        <f>Table341011121318141516[[#This Row],[  60-64]]-Table3410111213181415[[#This Row],[  60-64]]</f>
        <v>8400</v>
      </c>
      <c r="O20" s="5">
        <f>Table341011121318141516[[#This Row],[  65-69]]-Table3410111213181415[[#This Row],[  65-69]]</f>
        <v>6630</v>
      </c>
      <c r="P20" s="5">
        <f>Table341011121318141516[[#This Row],[  70-74]]-Table3410111213181415[[#This Row],[  70-74]]</f>
        <v>5840</v>
      </c>
      <c r="Q20" s="5">
        <f>Table341011121318141516[[#This Row],[  75-79]]-Table3410111213181415[[#This Row],[  75-79]]</f>
        <v>4020</v>
      </c>
      <c r="R20" s="5">
        <f>Table341011121318141516[[#This Row],[  80-84]]-Table3410111213181415[[#This Row],[  80-84]]</f>
        <v>2920</v>
      </c>
      <c r="S20" s="5">
        <f>Table341011121318141516[[#This Row],[  85-89]]-Table3410111213181415[[#This Row],[  85-89]]</f>
        <v>1650</v>
      </c>
      <c r="T20" s="5">
        <f>Table341011121318141516[[#This Row],[  90+]]-Table3410111213181415[[#This Row],[  90+]]</f>
        <v>970</v>
      </c>
    </row>
    <row r="21" spans="1:20" x14ac:dyDescent="0.2">
      <c r="A21" s="9" t="s">
        <v>7</v>
      </c>
      <c r="B21" s="6" t="s">
        <v>0</v>
      </c>
      <c r="C21" s="5">
        <f>Table341011121318141516[[#This Row],[Total]]-Table3410111213181415[[#This Row],[Total]]</f>
        <v>61220</v>
      </c>
      <c r="D21" s="5">
        <f>Table341011121318141516[[#This Row],[  5-11]]-Table3410111213181415[[#This Row],[  5-11]]</f>
        <v>7386.7426671556241</v>
      </c>
      <c r="E21" s="5">
        <f>Table341011121318141516[[#This Row],[  12-17]]-Table3410111213181415[[#This Row],[  12-17]]</f>
        <v>3909.1810304256678</v>
      </c>
      <c r="F21" s="5">
        <f>Table341011121318141516[[#This Row],[  18-24]]-Table3410111213181415[[#This Row],[  18-24]]</f>
        <v>3484.0763024187072</v>
      </c>
      <c r="G21" s="5">
        <f>Table341011121318141516[[#This Row],[  25-29 ]]-Table3410111213181415[[#This Row],[  25-29 ]]</f>
        <v>4340</v>
      </c>
      <c r="H21" s="5">
        <f>Table341011121318141516[[#This Row],[  30-34]]-Table3410111213181415[[#This Row],[  30-34]]</f>
        <v>5010</v>
      </c>
      <c r="I21" s="5">
        <f>Table341011121318141516[[#This Row],[  35-39]]-Table3410111213181415[[#This Row],[  35-39]]</f>
        <v>5010</v>
      </c>
      <c r="J21" s="5">
        <f>Table341011121318141516[[#This Row],[  40-44]]-Table3410111213181415[[#This Row],[  40-44]]</f>
        <v>4400</v>
      </c>
      <c r="K21" s="5">
        <f>Table341011121318141516[[#This Row],[  45-49 ]]-Table3410111213181415[[#This Row],[  45-49 ]]</f>
        <v>4480</v>
      </c>
      <c r="L21" s="5">
        <f>Table341011121318141516[[#This Row],[  50-54]]-Table3410111213181415[[#This Row],[  50-54]]</f>
        <v>4680</v>
      </c>
      <c r="M21" s="5">
        <f>Table341011121318141516[[#This Row],[  55-59]]-Table3410111213181415[[#This Row],[  55-59]]</f>
        <v>4280</v>
      </c>
      <c r="N21" s="5">
        <f>Table341011121318141516[[#This Row],[  60-64]]-Table3410111213181415[[#This Row],[  60-64]]</f>
        <v>4100</v>
      </c>
      <c r="O21" s="5">
        <f>Table341011121318141516[[#This Row],[  65-69]]-Table3410111213181415[[#This Row],[  65-69]]</f>
        <v>3290</v>
      </c>
      <c r="P21" s="5">
        <f>Table341011121318141516[[#This Row],[  70-74]]-Table3410111213181415[[#This Row],[  70-74]]</f>
        <v>2820</v>
      </c>
      <c r="Q21" s="5">
        <f>Table341011121318141516[[#This Row],[  75-79]]-Table3410111213181415[[#This Row],[  75-79]]</f>
        <v>1820</v>
      </c>
      <c r="R21" s="5">
        <f>Table341011121318141516[[#This Row],[  80-84]]-Table3410111213181415[[#This Row],[  80-84]]</f>
        <v>1240</v>
      </c>
      <c r="S21" s="5">
        <f>Table341011121318141516[[#This Row],[  85-89]]-Table3410111213181415[[#This Row],[  85-89]]</f>
        <v>660</v>
      </c>
      <c r="T21" s="5">
        <f>Table341011121318141516[[#This Row],[  90+]]-Table3410111213181415[[#This Row],[  90+]]</f>
        <v>310</v>
      </c>
    </row>
    <row r="22" spans="1:20" x14ac:dyDescent="0.2">
      <c r="A22" s="9" t="s">
        <v>7</v>
      </c>
      <c r="B22" s="6" t="s">
        <v>23</v>
      </c>
      <c r="C22" s="5">
        <f>Table341011121318141516[[#This Row],[Total]]-Table3410111213181415[[#This Row],[Total]]</f>
        <v>62340</v>
      </c>
      <c r="D22" s="5">
        <f>Table341011121318141516[[#This Row],[  5-11]]-Table3410111213181415[[#This Row],[  5-11]]</f>
        <v>6888.1132600984092</v>
      </c>
      <c r="E22" s="5">
        <f>Table341011121318141516[[#This Row],[  12-17]]-Table3410111213181415[[#This Row],[  12-17]]</f>
        <v>3616.3481862240665</v>
      </c>
      <c r="F22" s="5">
        <f>Table341011121318141516[[#This Row],[  18-24]]-Table3410111213181415[[#This Row],[  18-24]]</f>
        <v>3235.5385536775252</v>
      </c>
      <c r="G22" s="5">
        <f>Table341011121318141516[[#This Row],[  25-29 ]]-Table3410111213181415[[#This Row],[  25-29 ]]</f>
        <v>4220</v>
      </c>
      <c r="H22" s="5">
        <f>Table341011121318141516[[#This Row],[  30-34]]-Table3410111213181415[[#This Row],[  30-34]]</f>
        <v>5120</v>
      </c>
      <c r="I22" s="5">
        <f>Table341011121318141516[[#This Row],[  35-39]]-Table3410111213181415[[#This Row],[  35-39]]</f>
        <v>4850</v>
      </c>
      <c r="J22" s="5">
        <f>Table341011121318141516[[#This Row],[  40-44]]-Table3410111213181415[[#This Row],[  40-44]]</f>
        <v>4460</v>
      </c>
      <c r="K22" s="5">
        <f>Table341011121318141516[[#This Row],[  45-49 ]]-Table3410111213181415[[#This Row],[  45-49 ]]</f>
        <v>4580</v>
      </c>
      <c r="L22" s="5">
        <f>Table341011121318141516[[#This Row],[  50-54]]-Table3410111213181415[[#This Row],[  50-54]]</f>
        <v>4650</v>
      </c>
      <c r="M22" s="5">
        <f>Table341011121318141516[[#This Row],[  55-59]]-Table3410111213181415[[#This Row],[  55-59]]</f>
        <v>4530</v>
      </c>
      <c r="N22" s="5">
        <f>Table341011121318141516[[#This Row],[  60-64]]-Table3410111213181415[[#This Row],[  60-64]]</f>
        <v>4300</v>
      </c>
      <c r="O22" s="5">
        <f>Table341011121318141516[[#This Row],[  65-69]]-Table3410111213181415[[#This Row],[  65-69]]</f>
        <v>3340</v>
      </c>
      <c r="P22" s="5">
        <f>Table341011121318141516[[#This Row],[  70-74]]-Table3410111213181415[[#This Row],[  70-74]]</f>
        <v>3020</v>
      </c>
      <c r="Q22" s="5">
        <f>Table341011121318141516[[#This Row],[  75-79]]-Table3410111213181415[[#This Row],[  75-79]]</f>
        <v>2200</v>
      </c>
      <c r="R22" s="5">
        <f>Table341011121318141516[[#This Row],[  80-84]]-Table3410111213181415[[#This Row],[  80-84]]</f>
        <v>1680</v>
      </c>
      <c r="S22" s="5">
        <f>Table341011121318141516[[#This Row],[  85-89]]-Table3410111213181415[[#This Row],[  85-89]]</f>
        <v>990</v>
      </c>
      <c r="T22" s="5">
        <f>Table341011121318141516[[#This Row],[  90+]]-Table3410111213181415[[#This Row],[  90+]]</f>
        <v>660</v>
      </c>
    </row>
    <row r="23" spans="1:20" x14ac:dyDescent="0.2">
      <c r="A23" s="9" t="s">
        <v>8</v>
      </c>
      <c r="B23" s="6" t="s">
        <v>22</v>
      </c>
      <c r="C23" s="5">
        <f>Table341011121318141516[[#This Row],[Total]]-Table3410111213181415[[#This Row],[Total]]</f>
        <v>69870</v>
      </c>
      <c r="D23" s="5">
        <f>Table341011121318141516[[#This Row],[  5-11]]-Table3410111213181415[[#This Row],[  5-11]]</f>
        <v>8176.8133579520963</v>
      </c>
      <c r="E23" s="5">
        <f>Table341011121318141516[[#This Row],[  12-17]]-Table3410111213181415[[#This Row],[  12-17]]</f>
        <v>3324.8846919143907</v>
      </c>
      <c r="F23" s="5">
        <f>Table341011121318141516[[#This Row],[  18-24]]-Table3410111213181415[[#This Row],[  18-24]]</f>
        <v>2668.301950133512</v>
      </c>
      <c r="G23" s="5">
        <f>Table341011121318141516[[#This Row],[  25-29 ]]-Table3410111213181415[[#This Row],[  25-29 ]]</f>
        <v>4350</v>
      </c>
      <c r="H23" s="5">
        <f>Table341011121318141516[[#This Row],[  30-34]]-Table3410111213181415[[#This Row],[  30-34]]</f>
        <v>4870</v>
      </c>
      <c r="I23" s="5">
        <f>Table341011121318141516[[#This Row],[  35-39]]-Table3410111213181415[[#This Row],[  35-39]]</f>
        <v>4510</v>
      </c>
      <c r="J23" s="5">
        <f>Table341011121318141516[[#This Row],[  40-44]]-Table3410111213181415[[#This Row],[  40-44]]</f>
        <v>4430</v>
      </c>
      <c r="K23" s="5">
        <f>Table341011121318141516[[#This Row],[  45-49 ]]-Table3410111213181415[[#This Row],[  45-49 ]]</f>
        <v>4950</v>
      </c>
      <c r="L23" s="5">
        <f>Table341011121318141516[[#This Row],[  50-54]]-Table3410111213181415[[#This Row],[  50-54]]</f>
        <v>5240</v>
      </c>
      <c r="M23" s="5">
        <f>Table341011121318141516[[#This Row],[  55-59]]-Table3410111213181415[[#This Row],[  55-59]]</f>
        <v>5420</v>
      </c>
      <c r="N23" s="5">
        <f>Table341011121318141516[[#This Row],[  60-64]]-Table3410111213181415[[#This Row],[  60-64]]</f>
        <v>5320</v>
      </c>
      <c r="O23" s="5">
        <f>Table341011121318141516[[#This Row],[  65-69]]-Table3410111213181415[[#This Row],[  65-69]]</f>
        <v>4890</v>
      </c>
      <c r="P23" s="5">
        <f>Table341011121318141516[[#This Row],[  70-74]]-Table3410111213181415[[#This Row],[  70-74]]</f>
        <v>4710</v>
      </c>
      <c r="Q23" s="5">
        <f>Table341011121318141516[[#This Row],[  75-79]]-Table3410111213181415[[#This Row],[  75-79]]</f>
        <v>3160</v>
      </c>
      <c r="R23" s="5">
        <f>Table341011121318141516[[#This Row],[  80-84]]-Table3410111213181415[[#This Row],[  80-84]]</f>
        <v>2110</v>
      </c>
      <c r="S23" s="5">
        <f>Table341011121318141516[[#This Row],[  85-89]]-Table3410111213181415[[#This Row],[  85-89]]</f>
        <v>1120</v>
      </c>
      <c r="T23" s="5">
        <f>Table341011121318141516[[#This Row],[  90+]]-Table3410111213181415[[#This Row],[  90+]]</f>
        <v>620</v>
      </c>
    </row>
    <row r="24" spans="1:20" x14ac:dyDescent="0.2">
      <c r="A24" s="9" t="s">
        <v>8</v>
      </c>
      <c r="B24" s="6" t="s">
        <v>0</v>
      </c>
      <c r="C24" s="5">
        <f>Table341011121318141516[[#This Row],[Total]]-Table3410111213181415[[#This Row],[Total]]</f>
        <v>34790</v>
      </c>
      <c r="D24" s="5">
        <f>Table341011121318141516[[#This Row],[  5-11]]-Table3410111213181415[[#This Row],[  5-11]]</f>
        <v>4311.6348616274208</v>
      </c>
      <c r="E24" s="5">
        <f>Table341011121318141516[[#This Row],[  12-17]]-Table3410111213181415[[#This Row],[  12-17]]</f>
        <v>1781.7310177122786</v>
      </c>
      <c r="F24" s="5">
        <f>Table341011121318141516[[#This Row],[  18-24]]-Table3410111213181415[[#This Row],[  18-24]]</f>
        <v>1436.6341206603006</v>
      </c>
      <c r="G24" s="5">
        <f>Table341011121318141516[[#This Row],[  25-29 ]]-Table3410111213181415[[#This Row],[  25-29 ]]</f>
        <v>2260</v>
      </c>
      <c r="H24" s="5">
        <f>Table341011121318141516[[#This Row],[  30-34]]-Table3410111213181415[[#This Row],[  30-34]]</f>
        <v>2390</v>
      </c>
      <c r="I24" s="5">
        <f>Table341011121318141516[[#This Row],[  35-39]]-Table3410111213181415[[#This Row],[  35-39]]</f>
        <v>2300</v>
      </c>
      <c r="J24" s="5">
        <f>Table341011121318141516[[#This Row],[  40-44]]-Table3410111213181415[[#This Row],[  40-44]]</f>
        <v>2160</v>
      </c>
      <c r="K24" s="5">
        <f>Table341011121318141516[[#This Row],[  45-49 ]]-Table3410111213181415[[#This Row],[  45-49 ]]</f>
        <v>2460</v>
      </c>
      <c r="L24" s="5">
        <f>Table341011121318141516[[#This Row],[  50-54]]-Table3410111213181415[[#This Row],[  50-54]]</f>
        <v>2580</v>
      </c>
      <c r="M24" s="5">
        <f>Table341011121318141516[[#This Row],[  55-59]]-Table3410111213181415[[#This Row],[  55-59]]</f>
        <v>2650</v>
      </c>
      <c r="N24" s="5">
        <f>Table341011121318141516[[#This Row],[  60-64]]-Table3410111213181415[[#This Row],[  60-64]]</f>
        <v>2610</v>
      </c>
      <c r="O24" s="5">
        <f>Table341011121318141516[[#This Row],[  65-69]]-Table3410111213181415[[#This Row],[  65-69]]</f>
        <v>2360</v>
      </c>
      <c r="P24" s="5">
        <f>Table341011121318141516[[#This Row],[  70-74]]-Table3410111213181415[[#This Row],[  70-74]]</f>
        <v>2290</v>
      </c>
      <c r="Q24" s="5">
        <f>Table341011121318141516[[#This Row],[  75-79]]-Table3410111213181415[[#This Row],[  75-79]]</f>
        <v>1540</v>
      </c>
      <c r="R24" s="5">
        <f>Table341011121318141516[[#This Row],[  80-84]]-Table3410111213181415[[#This Row],[  80-84]]</f>
        <v>990</v>
      </c>
      <c r="S24" s="5">
        <f>Table341011121318141516[[#This Row],[  85-89]]-Table3410111213181415[[#This Row],[  85-89]]</f>
        <v>470</v>
      </c>
      <c r="T24" s="5">
        <f>Table341011121318141516[[#This Row],[  90+]]-Table3410111213181415[[#This Row],[  90+]]</f>
        <v>200</v>
      </c>
    </row>
    <row r="25" spans="1:20" x14ac:dyDescent="0.2">
      <c r="A25" s="9" t="s">
        <v>8</v>
      </c>
      <c r="B25" s="6" t="s">
        <v>23</v>
      </c>
      <c r="C25" s="5">
        <f>Table341011121318141516[[#This Row],[Total]]-Table3410111213181415[[#This Row],[Total]]</f>
        <v>35080</v>
      </c>
      <c r="D25" s="5">
        <f>Table341011121318141516[[#This Row],[  5-11]]-Table3410111213181415[[#This Row],[  5-11]]</f>
        <v>3864.4588607761802</v>
      </c>
      <c r="E25" s="5">
        <f>Table341011121318141516[[#This Row],[  12-17]]-Table3410111213181415[[#This Row],[  12-17]]</f>
        <v>1543.85870809995</v>
      </c>
      <c r="F25" s="5">
        <f>Table341011121318141516[[#This Row],[  18-24]]-Table3410111213181415[[#This Row],[  18-24]]</f>
        <v>1231.6824311238702</v>
      </c>
      <c r="G25" s="5">
        <f>Table341011121318141516[[#This Row],[  25-29 ]]-Table3410111213181415[[#This Row],[  25-29 ]]</f>
        <v>2090</v>
      </c>
      <c r="H25" s="5">
        <f>Table341011121318141516[[#This Row],[  30-34]]-Table3410111213181415[[#This Row],[  30-34]]</f>
        <v>2480</v>
      </c>
      <c r="I25" s="5">
        <f>Table341011121318141516[[#This Row],[  35-39]]-Table3410111213181415[[#This Row],[  35-39]]</f>
        <v>2210</v>
      </c>
      <c r="J25" s="5">
        <f>Table341011121318141516[[#This Row],[  40-44]]-Table3410111213181415[[#This Row],[  40-44]]</f>
        <v>2270</v>
      </c>
      <c r="K25" s="5">
        <f>Table341011121318141516[[#This Row],[  45-49 ]]-Table3410111213181415[[#This Row],[  45-49 ]]</f>
        <v>2490</v>
      </c>
      <c r="L25" s="5">
        <f>Table341011121318141516[[#This Row],[  50-54]]-Table3410111213181415[[#This Row],[  50-54]]</f>
        <v>2660</v>
      </c>
      <c r="M25" s="5">
        <f>Table341011121318141516[[#This Row],[  55-59]]-Table3410111213181415[[#This Row],[  55-59]]</f>
        <v>2770</v>
      </c>
      <c r="N25" s="5">
        <f>Table341011121318141516[[#This Row],[  60-64]]-Table3410111213181415[[#This Row],[  60-64]]</f>
        <v>2710</v>
      </c>
      <c r="O25" s="5">
        <f>Table341011121318141516[[#This Row],[  65-69]]-Table3410111213181415[[#This Row],[  65-69]]</f>
        <v>2530</v>
      </c>
      <c r="P25" s="5">
        <f>Table341011121318141516[[#This Row],[  70-74]]-Table3410111213181415[[#This Row],[  70-74]]</f>
        <v>2420</v>
      </c>
      <c r="Q25" s="5">
        <f>Table341011121318141516[[#This Row],[  75-79]]-Table3410111213181415[[#This Row],[  75-79]]</f>
        <v>1620</v>
      </c>
      <c r="R25" s="5">
        <f>Table341011121318141516[[#This Row],[  80-84]]-Table3410111213181415[[#This Row],[  80-84]]</f>
        <v>1120</v>
      </c>
      <c r="S25" s="5">
        <f>Table341011121318141516[[#This Row],[  85-89]]-Table3410111213181415[[#This Row],[  85-89]]</f>
        <v>650</v>
      </c>
      <c r="T25" s="5">
        <f>Table341011121318141516[[#This Row],[  90+]]-Table3410111213181415[[#This Row],[  90+]]</f>
        <v>420</v>
      </c>
    </row>
    <row r="26" spans="1:20" x14ac:dyDescent="0.2">
      <c r="A26" s="9" t="s">
        <v>9</v>
      </c>
      <c r="B26" s="6" t="s">
        <v>22</v>
      </c>
      <c r="C26" s="5">
        <f>Table341011121318141516[[#This Row],[Total]]-Table3410111213181415[[#This Row],[Total]]</f>
        <v>140640</v>
      </c>
      <c r="D26" s="5">
        <f>Table341011121318141516[[#This Row],[  5-11]]-Table3410111213181415[[#This Row],[  5-11]]</f>
        <v>17190.962148711511</v>
      </c>
      <c r="E26" s="5">
        <f>Table341011121318141516[[#This Row],[  12-17]]-Table3410111213181415[[#This Row],[  12-17]]</f>
        <v>8763.9249859375523</v>
      </c>
      <c r="F26" s="5">
        <f>Table341011121318141516[[#This Row],[  18-24]]-Table3410111213181415[[#This Row],[  18-24]]</f>
        <v>7735.1128653509368</v>
      </c>
      <c r="G26" s="5">
        <f>Table341011121318141516[[#This Row],[  25-29 ]]-Table3410111213181415[[#This Row],[  25-29 ]]</f>
        <v>8840</v>
      </c>
      <c r="H26" s="5">
        <f>Table341011121318141516[[#This Row],[  30-34]]-Table3410111213181415[[#This Row],[  30-34]]</f>
        <v>9090</v>
      </c>
      <c r="I26" s="5">
        <f>Table341011121318141516[[#This Row],[  35-39]]-Table3410111213181415[[#This Row],[  35-39]]</f>
        <v>8590</v>
      </c>
      <c r="J26" s="5">
        <f>Table341011121318141516[[#This Row],[  40-44]]-Table3410111213181415[[#This Row],[  40-44]]</f>
        <v>8250</v>
      </c>
      <c r="K26" s="5">
        <f>Table341011121318141516[[#This Row],[  45-49 ]]-Table3410111213181415[[#This Row],[  45-49 ]]</f>
        <v>9130</v>
      </c>
      <c r="L26" s="5">
        <f>Table341011121318141516[[#This Row],[  50-54]]-Table3410111213181415[[#This Row],[  50-54]]</f>
        <v>9920</v>
      </c>
      <c r="M26" s="5">
        <f>Table341011121318141516[[#This Row],[  55-59]]-Table3410111213181415[[#This Row],[  55-59]]</f>
        <v>10470</v>
      </c>
      <c r="N26" s="5">
        <f>Table341011121318141516[[#This Row],[  60-64]]-Table3410111213181415[[#This Row],[  60-64]]</f>
        <v>10390</v>
      </c>
      <c r="O26" s="5">
        <f>Table341011121318141516[[#This Row],[  65-69]]-Table3410111213181415[[#This Row],[  65-69]]</f>
        <v>9240</v>
      </c>
      <c r="P26" s="5">
        <f>Table341011121318141516[[#This Row],[  70-74]]-Table3410111213181415[[#This Row],[  70-74]]</f>
        <v>8730</v>
      </c>
      <c r="Q26" s="5">
        <f>Table341011121318141516[[#This Row],[  75-79]]-Table3410111213181415[[#This Row],[  75-79]]</f>
        <v>6230</v>
      </c>
      <c r="R26" s="5">
        <f>Table341011121318141516[[#This Row],[  80-84]]-Table3410111213181415[[#This Row],[  80-84]]</f>
        <v>4360</v>
      </c>
      <c r="S26" s="5">
        <f>Table341011121318141516[[#This Row],[  85-89]]-Table3410111213181415[[#This Row],[  85-89]]</f>
        <v>2370</v>
      </c>
      <c r="T26" s="5">
        <f>Table341011121318141516[[#This Row],[  90+]]-Table3410111213181415[[#This Row],[  90+]]</f>
        <v>1340</v>
      </c>
    </row>
    <row r="27" spans="1:20" x14ac:dyDescent="0.2">
      <c r="A27" s="9" t="s">
        <v>9</v>
      </c>
      <c r="B27" s="6" t="s">
        <v>0</v>
      </c>
      <c r="C27" s="5">
        <f>Table341011121318141516[[#This Row],[Total]]-Table3410111213181415[[#This Row],[Total]]</f>
        <v>68880</v>
      </c>
      <c r="D27" s="5">
        <f>Table341011121318141516[[#This Row],[  5-11]]-Table3410111213181415[[#This Row],[  5-11]]</f>
        <v>8758.4240651187283</v>
      </c>
      <c r="E27" s="5">
        <f>Table341011121318141516[[#This Row],[  12-17]]-Table3410111213181415[[#This Row],[  12-17]]</f>
        <v>4473.4795217408737</v>
      </c>
      <c r="F27" s="5">
        <f>Table341011121318141516[[#This Row],[  18-24]]-Table3410111213181415[[#This Row],[  18-24]]</f>
        <v>3938.0964131403953</v>
      </c>
      <c r="G27" s="5">
        <f>Table341011121318141516[[#This Row],[  25-29 ]]-Table3410111213181415[[#This Row],[  25-29 ]]</f>
        <v>4640</v>
      </c>
      <c r="H27" s="5">
        <f>Table341011121318141516[[#This Row],[  30-34]]-Table3410111213181415[[#This Row],[  30-34]]</f>
        <v>4440</v>
      </c>
      <c r="I27" s="5">
        <f>Table341011121318141516[[#This Row],[  35-39]]-Table3410111213181415[[#This Row],[  35-39]]</f>
        <v>4300</v>
      </c>
      <c r="J27" s="5">
        <f>Table341011121318141516[[#This Row],[  40-44]]-Table3410111213181415[[#This Row],[  40-44]]</f>
        <v>4030</v>
      </c>
      <c r="K27" s="5">
        <f>Table341011121318141516[[#This Row],[  45-49 ]]-Table3410111213181415[[#This Row],[  45-49 ]]</f>
        <v>4480</v>
      </c>
      <c r="L27" s="5">
        <f>Table341011121318141516[[#This Row],[  50-54]]-Table3410111213181415[[#This Row],[  50-54]]</f>
        <v>4750</v>
      </c>
      <c r="M27" s="5">
        <f>Table341011121318141516[[#This Row],[  55-59]]-Table3410111213181415[[#This Row],[  55-59]]</f>
        <v>5040</v>
      </c>
      <c r="N27" s="5">
        <f>Table341011121318141516[[#This Row],[  60-64]]-Table3410111213181415[[#This Row],[  60-64]]</f>
        <v>5020</v>
      </c>
      <c r="O27" s="5">
        <f>Table341011121318141516[[#This Row],[  65-69]]-Table3410111213181415[[#This Row],[  65-69]]</f>
        <v>4430</v>
      </c>
      <c r="P27" s="5">
        <f>Table341011121318141516[[#This Row],[  70-74]]-Table3410111213181415[[#This Row],[  70-74]]</f>
        <v>4170</v>
      </c>
      <c r="Q27" s="5">
        <f>Table341011121318141516[[#This Row],[  75-79]]-Table3410111213181415[[#This Row],[  75-79]]</f>
        <v>2950</v>
      </c>
      <c r="R27" s="5">
        <f>Table341011121318141516[[#This Row],[  80-84]]-Table3410111213181415[[#This Row],[  80-84]]</f>
        <v>2050</v>
      </c>
      <c r="S27" s="5">
        <f>Table341011121318141516[[#This Row],[  85-89]]-Table3410111213181415[[#This Row],[  85-89]]</f>
        <v>920</v>
      </c>
      <c r="T27" s="5">
        <f>Table341011121318141516[[#This Row],[  90+]]-Table3410111213181415[[#This Row],[  90+]]</f>
        <v>490</v>
      </c>
    </row>
    <row r="28" spans="1:20" x14ac:dyDescent="0.2">
      <c r="A28" s="9" t="s">
        <v>9</v>
      </c>
      <c r="B28" s="6" t="s">
        <v>23</v>
      </c>
      <c r="C28" s="5">
        <f>Table341011121318141516[[#This Row],[Total]]-Table3410111213181415[[#This Row],[Total]]</f>
        <v>71760</v>
      </c>
      <c r="D28" s="5">
        <f>Table341011121318141516[[#This Row],[  5-11]]-Table3410111213181415[[#This Row],[  5-11]]</f>
        <v>8431.9610101837243</v>
      </c>
      <c r="E28" s="5">
        <f>Table341011121318141516[[#This Row],[  12-17]]-Table3410111213181415[[#This Row],[  12-17]]</f>
        <v>4290.9113349712661</v>
      </c>
      <c r="F28" s="5">
        <f>Table341011121318141516[[#This Row],[  18-24]]-Table3410111213181415[[#This Row],[  18-24]]</f>
        <v>3797.1276548450119</v>
      </c>
      <c r="G28" s="5">
        <f>Table341011121318141516[[#This Row],[  25-29 ]]-Table3410111213181415[[#This Row],[  25-29 ]]</f>
        <v>4200</v>
      </c>
      <c r="H28" s="5">
        <f>Table341011121318141516[[#This Row],[  30-34]]-Table3410111213181415[[#This Row],[  30-34]]</f>
        <v>4650</v>
      </c>
      <c r="I28" s="5">
        <f>Table341011121318141516[[#This Row],[  35-39]]-Table3410111213181415[[#This Row],[  35-39]]</f>
        <v>4290</v>
      </c>
      <c r="J28" s="5">
        <f>Table341011121318141516[[#This Row],[  40-44]]-Table3410111213181415[[#This Row],[  40-44]]</f>
        <v>4220</v>
      </c>
      <c r="K28" s="5">
        <f>Table341011121318141516[[#This Row],[  45-49 ]]-Table3410111213181415[[#This Row],[  45-49 ]]</f>
        <v>4650</v>
      </c>
      <c r="L28" s="5">
        <f>Table341011121318141516[[#This Row],[  50-54]]-Table3410111213181415[[#This Row],[  50-54]]</f>
        <v>5170</v>
      </c>
      <c r="M28" s="5">
        <f>Table341011121318141516[[#This Row],[  55-59]]-Table3410111213181415[[#This Row],[  55-59]]</f>
        <v>5430</v>
      </c>
      <c r="N28" s="5">
        <f>Table341011121318141516[[#This Row],[  60-64]]-Table3410111213181415[[#This Row],[  60-64]]</f>
        <v>5370</v>
      </c>
      <c r="O28" s="5">
        <f>Table341011121318141516[[#This Row],[  65-69]]-Table3410111213181415[[#This Row],[  65-69]]</f>
        <v>4810</v>
      </c>
      <c r="P28" s="5">
        <f>Table341011121318141516[[#This Row],[  70-74]]-Table3410111213181415[[#This Row],[  70-74]]</f>
        <v>4560</v>
      </c>
      <c r="Q28" s="5">
        <f>Table341011121318141516[[#This Row],[  75-79]]-Table3410111213181415[[#This Row],[  75-79]]</f>
        <v>3280</v>
      </c>
      <c r="R28" s="5">
        <f>Table341011121318141516[[#This Row],[  80-84]]-Table3410111213181415[[#This Row],[  80-84]]</f>
        <v>2310</v>
      </c>
      <c r="S28" s="5">
        <f>Table341011121318141516[[#This Row],[  85-89]]-Table3410111213181415[[#This Row],[  85-89]]</f>
        <v>1450</v>
      </c>
      <c r="T28" s="5">
        <f>Table341011121318141516[[#This Row],[  90+]]-Table3410111213181415[[#This Row],[  90+]]</f>
        <v>850</v>
      </c>
    </row>
    <row r="29" spans="1:20" x14ac:dyDescent="0.2">
      <c r="A29" s="9" t="s">
        <v>10</v>
      </c>
      <c r="B29" s="6" t="s">
        <v>22</v>
      </c>
      <c r="C29" s="5">
        <f>Table341011121318141516[[#This Row],[Total]]-Table3410111213181415[[#This Row],[Total]]</f>
        <v>139040</v>
      </c>
      <c r="D29" s="5">
        <f>Table341011121318141516[[#This Row],[  5-11]]-Table3410111213181415[[#This Row],[  5-11]]</f>
        <v>13960.810864396892</v>
      </c>
      <c r="E29" s="5">
        <f>Table341011121318141516[[#This Row],[  12-17]]-Table3410111213181415[[#This Row],[  12-17]]</f>
        <v>7695.0699193659484</v>
      </c>
      <c r="F29" s="5">
        <f>Table341011121318141516[[#This Row],[  18-24]]-Table3410111213181415[[#This Row],[  18-24]]</f>
        <v>6974.1192162371617</v>
      </c>
      <c r="G29" s="5">
        <f>Table341011121318141516[[#This Row],[  25-29 ]]-Table3410111213181415[[#This Row],[  25-29 ]]</f>
        <v>7360</v>
      </c>
      <c r="H29" s="5">
        <f>Table341011121318141516[[#This Row],[  30-34]]-Table3410111213181415[[#This Row],[  30-34]]</f>
        <v>7980</v>
      </c>
      <c r="I29" s="5">
        <f>Table341011121318141516[[#This Row],[  35-39]]-Table3410111213181415[[#This Row],[  35-39]]</f>
        <v>8070</v>
      </c>
      <c r="J29" s="5">
        <f>Table341011121318141516[[#This Row],[  40-44]]-Table3410111213181415[[#This Row],[  40-44]]</f>
        <v>8330</v>
      </c>
      <c r="K29" s="5">
        <f>Table341011121318141516[[#This Row],[  45-49 ]]-Table3410111213181415[[#This Row],[  45-49 ]]</f>
        <v>10110</v>
      </c>
      <c r="L29" s="5">
        <f>Table341011121318141516[[#This Row],[  50-54]]-Table3410111213181415[[#This Row],[  50-54]]</f>
        <v>10940</v>
      </c>
      <c r="M29" s="5">
        <f>Table341011121318141516[[#This Row],[  55-59]]-Table3410111213181415[[#This Row],[  55-59]]</f>
        <v>11260</v>
      </c>
      <c r="N29" s="5">
        <f>Table341011121318141516[[#This Row],[  60-64]]-Table3410111213181415[[#This Row],[  60-64]]</f>
        <v>11120</v>
      </c>
      <c r="O29" s="5">
        <f>Table341011121318141516[[#This Row],[  65-69]]-Table3410111213181415[[#This Row],[  65-69]]</f>
        <v>10350</v>
      </c>
      <c r="P29" s="5">
        <f>Table341011121318141516[[#This Row],[  70-74]]-Table3410111213181415[[#This Row],[  70-74]]</f>
        <v>9860</v>
      </c>
      <c r="Q29" s="5">
        <f>Table341011121318141516[[#This Row],[  75-79]]-Table3410111213181415[[#This Row],[  75-79]]</f>
        <v>6700</v>
      </c>
      <c r="R29" s="5">
        <f>Table341011121318141516[[#This Row],[  80-84]]-Table3410111213181415[[#This Row],[  80-84]]</f>
        <v>4430</v>
      </c>
      <c r="S29" s="5">
        <f>Table341011121318141516[[#This Row],[  85-89]]-Table3410111213181415[[#This Row],[  85-89]]</f>
        <v>2460</v>
      </c>
      <c r="T29" s="5">
        <f>Table341011121318141516[[#This Row],[  90+]]-Table3410111213181415[[#This Row],[  90+]]</f>
        <v>1440</v>
      </c>
    </row>
    <row r="30" spans="1:20" x14ac:dyDescent="0.2">
      <c r="A30" s="9" t="s">
        <v>10</v>
      </c>
      <c r="B30" s="6" t="s">
        <v>0</v>
      </c>
      <c r="C30" s="5">
        <f>Table341011121318141516[[#This Row],[Total]]-Table3410111213181415[[#This Row],[Total]]</f>
        <v>68850</v>
      </c>
      <c r="D30" s="5">
        <f>Table341011121318141516[[#This Row],[  5-11]]-Table3410111213181415[[#This Row],[  5-11]]</f>
        <v>7253.0751246616537</v>
      </c>
      <c r="E30" s="5">
        <f>Table341011121318141516[[#This Row],[  12-17]]-Table3410111213181415[[#This Row],[  12-17]]</f>
        <v>4010.4881338979185</v>
      </c>
      <c r="F30" s="5">
        <f>Table341011121318141516[[#This Row],[  18-24]]-Table3410111213181415[[#This Row],[  18-24]]</f>
        <v>3626.4367414404278</v>
      </c>
      <c r="G30" s="5">
        <f>Table341011121318141516[[#This Row],[  25-29 ]]-Table3410111213181415[[#This Row],[  25-29 ]]</f>
        <v>3920</v>
      </c>
      <c r="H30" s="5">
        <f>Table341011121318141516[[#This Row],[  30-34]]-Table3410111213181415[[#This Row],[  30-34]]</f>
        <v>4000</v>
      </c>
      <c r="I30" s="5">
        <f>Table341011121318141516[[#This Row],[  35-39]]-Table3410111213181415[[#This Row],[  35-39]]</f>
        <v>4030</v>
      </c>
      <c r="J30" s="5">
        <f>Table341011121318141516[[#This Row],[  40-44]]-Table3410111213181415[[#This Row],[  40-44]]</f>
        <v>4000</v>
      </c>
      <c r="K30" s="5">
        <f>Table341011121318141516[[#This Row],[  45-49 ]]-Table3410111213181415[[#This Row],[  45-49 ]]</f>
        <v>4900</v>
      </c>
      <c r="L30" s="5">
        <f>Table341011121318141516[[#This Row],[  50-54]]-Table3410111213181415[[#This Row],[  50-54]]</f>
        <v>5310</v>
      </c>
      <c r="M30" s="5">
        <f>Table341011121318141516[[#This Row],[  55-59]]-Table3410111213181415[[#This Row],[  55-59]]</f>
        <v>5430</v>
      </c>
      <c r="N30" s="5">
        <f>Table341011121318141516[[#This Row],[  60-64]]-Table3410111213181415[[#This Row],[  60-64]]</f>
        <v>5410</v>
      </c>
      <c r="O30" s="5">
        <f>Table341011121318141516[[#This Row],[  65-69]]-Table3410111213181415[[#This Row],[  65-69]]</f>
        <v>5020</v>
      </c>
      <c r="P30" s="5">
        <f>Table341011121318141516[[#This Row],[  70-74]]-Table3410111213181415[[#This Row],[  70-74]]</f>
        <v>4890</v>
      </c>
      <c r="Q30" s="5">
        <f>Table341011121318141516[[#This Row],[  75-79]]-Table3410111213181415[[#This Row],[  75-79]]</f>
        <v>3320</v>
      </c>
      <c r="R30" s="5">
        <f>Table341011121318141516[[#This Row],[  80-84]]-Table3410111213181415[[#This Row],[  80-84]]</f>
        <v>2120</v>
      </c>
      <c r="S30" s="5">
        <f>Table341011121318141516[[#This Row],[  85-89]]-Table3410111213181415[[#This Row],[  85-89]]</f>
        <v>1090</v>
      </c>
      <c r="T30" s="5">
        <f>Table341011121318141516[[#This Row],[  90+]]-Table3410111213181415[[#This Row],[  90+]]</f>
        <v>520</v>
      </c>
    </row>
    <row r="31" spans="1:20" x14ac:dyDescent="0.2">
      <c r="A31" s="9" t="s">
        <v>10</v>
      </c>
      <c r="B31" s="6" t="s">
        <v>23</v>
      </c>
      <c r="C31" s="5">
        <f>Table341011121318141516[[#This Row],[Total]]-Table3410111213181415[[#This Row],[Total]]</f>
        <v>70190</v>
      </c>
      <c r="D31" s="5">
        <f>Table341011121318141516[[#This Row],[  5-11]]-Table3410111213181415[[#This Row],[  5-11]]</f>
        <v>6707.1994038848998</v>
      </c>
      <c r="E31" s="5">
        <f>Table341011121318141516[[#This Row],[  12-17]]-Table3410111213181415[[#This Row],[  12-17]]</f>
        <v>3685.1669284636228</v>
      </c>
      <c r="F31" s="5">
        <f>Table341011121318141516[[#This Row],[  18-24]]-Table3410111213181415[[#This Row],[  18-24]]</f>
        <v>3347.6336676514775</v>
      </c>
      <c r="G31" s="5">
        <f>Table341011121318141516[[#This Row],[  25-29 ]]-Table3410111213181415[[#This Row],[  25-29 ]]</f>
        <v>3440</v>
      </c>
      <c r="H31" s="5">
        <f>Table341011121318141516[[#This Row],[  30-34]]-Table3410111213181415[[#This Row],[  30-34]]</f>
        <v>3980</v>
      </c>
      <c r="I31" s="5">
        <f>Table341011121318141516[[#This Row],[  35-39]]-Table3410111213181415[[#This Row],[  35-39]]</f>
        <v>4040</v>
      </c>
      <c r="J31" s="5">
        <f>Table341011121318141516[[#This Row],[  40-44]]-Table3410111213181415[[#This Row],[  40-44]]</f>
        <v>4330</v>
      </c>
      <c r="K31" s="5">
        <f>Table341011121318141516[[#This Row],[  45-49 ]]-Table3410111213181415[[#This Row],[  45-49 ]]</f>
        <v>5210</v>
      </c>
      <c r="L31" s="5">
        <f>Table341011121318141516[[#This Row],[  50-54]]-Table3410111213181415[[#This Row],[  50-54]]</f>
        <v>5630</v>
      </c>
      <c r="M31" s="5">
        <f>Table341011121318141516[[#This Row],[  55-59]]-Table3410111213181415[[#This Row],[  55-59]]</f>
        <v>5830</v>
      </c>
      <c r="N31" s="5">
        <f>Table341011121318141516[[#This Row],[  60-64]]-Table3410111213181415[[#This Row],[  60-64]]</f>
        <v>5710</v>
      </c>
      <c r="O31" s="5">
        <f>Table341011121318141516[[#This Row],[  65-69]]-Table3410111213181415[[#This Row],[  65-69]]</f>
        <v>5330</v>
      </c>
      <c r="P31" s="5">
        <f>Table341011121318141516[[#This Row],[  70-74]]-Table3410111213181415[[#This Row],[  70-74]]</f>
        <v>4970</v>
      </c>
      <c r="Q31" s="5">
        <f>Table341011121318141516[[#This Row],[  75-79]]-Table3410111213181415[[#This Row],[  75-79]]</f>
        <v>3380</v>
      </c>
      <c r="R31" s="5">
        <f>Table341011121318141516[[#This Row],[  80-84]]-Table3410111213181415[[#This Row],[  80-84]]</f>
        <v>2310</v>
      </c>
      <c r="S31" s="5">
        <f>Table341011121318141516[[#This Row],[  85-89]]-Table3410111213181415[[#This Row],[  85-89]]</f>
        <v>1370</v>
      </c>
      <c r="T31" s="5">
        <f>Table341011121318141516[[#This Row],[  90+]]-Table3410111213181415[[#This Row],[  90+]]</f>
        <v>920</v>
      </c>
    </row>
    <row r="32" spans="1:20" x14ac:dyDescent="0.2">
      <c r="A32" s="9" t="s">
        <v>11</v>
      </c>
      <c r="B32" s="6" t="s">
        <v>22</v>
      </c>
      <c r="C32" s="5">
        <f>Table341011121318141516[[#This Row],[Total]]-Table3410111213181415[[#This Row],[Total]]</f>
        <v>119410</v>
      </c>
      <c r="D32" s="5">
        <f>Table341011121318141516[[#This Row],[  5-11]]-Table3410111213181415[[#This Row],[  5-11]]</f>
        <v>12604.468735912118</v>
      </c>
      <c r="E32" s="5">
        <f>Table341011121318141516[[#This Row],[  12-17]]-Table3410111213181415[[#This Row],[  12-17]]</f>
        <v>5037.5206847796035</v>
      </c>
      <c r="F32" s="5">
        <f>Table341011121318141516[[#This Row],[  18-24]]-Table3410111213181415[[#This Row],[  18-24]]</f>
        <v>4008.0105793082803</v>
      </c>
      <c r="G32" s="5">
        <f>Table341011121318141516[[#This Row],[  25-29 ]]-Table3410111213181415[[#This Row],[  25-29 ]]</f>
        <v>5480</v>
      </c>
      <c r="H32" s="5">
        <f>Table341011121318141516[[#This Row],[  30-34]]-Table3410111213181415[[#This Row],[  30-34]]</f>
        <v>6770</v>
      </c>
      <c r="I32" s="5">
        <f>Table341011121318141516[[#This Row],[  35-39]]-Table3410111213181415[[#This Row],[  35-39]]</f>
        <v>6680</v>
      </c>
      <c r="J32" s="5">
        <f>Table341011121318141516[[#This Row],[  40-44]]-Table3410111213181415[[#This Row],[  40-44]]</f>
        <v>6560</v>
      </c>
      <c r="K32" s="5">
        <f>Table341011121318141516[[#This Row],[  45-49 ]]-Table3410111213181415[[#This Row],[  45-49 ]]</f>
        <v>7670</v>
      </c>
      <c r="L32" s="5">
        <f>Table341011121318141516[[#This Row],[  50-54]]-Table3410111213181415[[#This Row],[  50-54]]</f>
        <v>9300</v>
      </c>
      <c r="M32" s="5">
        <f>Table341011121318141516[[#This Row],[  55-59]]-Table3410111213181415[[#This Row],[  55-59]]</f>
        <v>10020</v>
      </c>
      <c r="N32" s="5">
        <f>Table341011121318141516[[#This Row],[  60-64]]-Table3410111213181415[[#This Row],[  60-64]]</f>
        <v>10720</v>
      </c>
      <c r="O32" s="5">
        <f>Table341011121318141516[[#This Row],[  65-69]]-Table3410111213181415[[#This Row],[  65-69]]</f>
        <v>10590</v>
      </c>
      <c r="P32" s="5">
        <f>Table341011121318141516[[#This Row],[  70-74]]-Table3410111213181415[[#This Row],[  70-74]]</f>
        <v>9790</v>
      </c>
      <c r="Q32" s="5">
        <f>Table341011121318141516[[#This Row],[  75-79]]-Table3410111213181415[[#This Row],[  75-79]]</f>
        <v>6460</v>
      </c>
      <c r="R32" s="5">
        <f>Table341011121318141516[[#This Row],[  80-84]]-Table3410111213181415[[#This Row],[  80-84]]</f>
        <v>4350</v>
      </c>
      <c r="S32" s="5">
        <f>Table341011121318141516[[#This Row],[  85-89]]-Table3410111213181415[[#This Row],[  85-89]]</f>
        <v>2140</v>
      </c>
      <c r="T32" s="5">
        <f>Table341011121318141516[[#This Row],[  90+]]-Table3410111213181415[[#This Row],[  90+]]</f>
        <v>1230</v>
      </c>
    </row>
    <row r="33" spans="1:20" x14ac:dyDescent="0.2">
      <c r="A33" s="9" t="s">
        <v>11</v>
      </c>
      <c r="B33" s="6" t="s">
        <v>0</v>
      </c>
      <c r="C33" s="5">
        <f>Table341011121318141516[[#This Row],[Total]]-Table3410111213181415[[#This Row],[Total]]</f>
        <v>59710</v>
      </c>
      <c r="D33" s="5">
        <f>Table341011121318141516[[#This Row],[  5-11]]-Table3410111213181415[[#This Row],[  5-11]]</f>
        <v>6498.6211736680225</v>
      </c>
      <c r="E33" s="5">
        <f>Table341011121318141516[[#This Row],[  12-17]]-Table3410111213181415[[#This Row],[  12-17]]</f>
        <v>2612.8051723522412</v>
      </c>
      <c r="F33" s="5">
        <f>Table341011121318141516[[#This Row],[  18-24]]-Table3410111213181415[[#This Row],[  18-24]]</f>
        <v>2078.5736539797363</v>
      </c>
      <c r="G33" s="5">
        <f>Table341011121318141516[[#This Row],[  25-29 ]]-Table3410111213181415[[#This Row],[  25-29 ]]</f>
        <v>2860</v>
      </c>
      <c r="H33" s="5">
        <f>Table341011121318141516[[#This Row],[  30-34]]-Table3410111213181415[[#This Row],[  30-34]]</f>
        <v>3450</v>
      </c>
      <c r="I33" s="5">
        <f>Table341011121318141516[[#This Row],[  35-39]]-Table3410111213181415[[#This Row],[  35-39]]</f>
        <v>3350</v>
      </c>
      <c r="J33" s="5">
        <f>Table341011121318141516[[#This Row],[  40-44]]-Table3410111213181415[[#This Row],[  40-44]]</f>
        <v>3280</v>
      </c>
      <c r="K33" s="5">
        <f>Table341011121318141516[[#This Row],[  45-49 ]]-Table3410111213181415[[#This Row],[  45-49 ]]</f>
        <v>3860</v>
      </c>
      <c r="L33" s="5">
        <f>Table341011121318141516[[#This Row],[  50-54]]-Table3410111213181415[[#This Row],[  50-54]]</f>
        <v>4540</v>
      </c>
      <c r="M33" s="5">
        <f>Table341011121318141516[[#This Row],[  55-59]]-Table3410111213181415[[#This Row],[  55-59]]</f>
        <v>4840</v>
      </c>
      <c r="N33" s="5">
        <f>Table341011121318141516[[#This Row],[  60-64]]-Table3410111213181415[[#This Row],[  60-64]]</f>
        <v>5280</v>
      </c>
      <c r="O33" s="5">
        <f>Table341011121318141516[[#This Row],[  65-69]]-Table3410111213181415[[#This Row],[  65-69]]</f>
        <v>5330</v>
      </c>
      <c r="P33" s="5">
        <f>Table341011121318141516[[#This Row],[  70-74]]-Table3410111213181415[[#This Row],[  70-74]]</f>
        <v>4970</v>
      </c>
      <c r="Q33" s="5">
        <f>Table341011121318141516[[#This Row],[  75-79]]-Table3410111213181415[[#This Row],[  75-79]]</f>
        <v>3240</v>
      </c>
      <c r="R33" s="5">
        <f>Table341011121318141516[[#This Row],[  80-84]]-Table3410111213181415[[#This Row],[  80-84]]</f>
        <v>2130</v>
      </c>
      <c r="S33" s="5">
        <f>Table341011121318141516[[#This Row],[  85-89]]-Table3410111213181415[[#This Row],[  85-89]]</f>
        <v>930</v>
      </c>
      <c r="T33" s="5">
        <f>Table341011121318141516[[#This Row],[  90+]]-Table3410111213181415[[#This Row],[  90+]]</f>
        <v>460</v>
      </c>
    </row>
    <row r="34" spans="1:20" x14ac:dyDescent="0.2">
      <c r="A34" s="9" t="s">
        <v>11</v>
      </c>
      <c r="B34" s="6" t="s">
        <v>23</v>
      </c>
      <c r="C34" s="5">
        <f>Table341011121318141516[[#This Row],[Total]]-Table3410111213181415[[#This Row],[Total]]</f>
        <v>59700</v>
      </c>
      <c r="D34" s="5">
        <f>Table341011121318141516[[#This Row],[  5-11]]-Table3410111213181415[[#This Row],[  5-11]]</f>
        <v>6104.9062109707511</v>
      </c>
      <c r="E34" s="5">
        <f>Table341011121318141516[[#This Row],[  12-17]]-Table3410111213181415[[#This Row],[  12-17]]</f>
        <v>2425.4922653057347</v>
      </c>
      <c r="F34" s="5">
        <f>Table341011121318141516[[#This Row],[  18-24]]-Table3410111213181415[[#This Row],[  18-24]]</f>
        <v>1929.6015237235151</v>
      </c>
      <c r="G34" s="5">
        <f>Table341011121318141516[[#This Row],[  25-29 ]]-Table3410111213181415[[#This Row],[  25-29 ]]</f>
        <v>2620</v>
      </c>
      <c r="H34" s="5">
        <f>Table341011121318141516[[#This Row],[  30-34]]-Table3410111213181415[[#This Row],[  30-34]]</f>
        <v>3320</v>
      </c>
      <c r="I34" s="5">
        <f>Table341011121318141516[[#This Row],[  35-39]]-Table3410111213181415[[#This Row],[  35-39]]</f>
        <v>3330</v>
      </c>
      <c r="J34" s="5">
        <f>Table341011121318141516[[#This Row],[  40-44]]-Table3410111213181415[[#This Row],[  40-44]]</f>
        <v>3280</v>
      </c>
      <c r="K34" s="5">
        <f>Table341011121318141516[[#This Row],[  45-49 ]]-Table3410111213181415[[#This Row],[  45-49 ]]</f>
        <v>3810</v>
      </c>
      <c r="L34" s="5">
        <f>Table341011121318141516[[#This Row],[  50-54]]-Table3410111213181415[[#This Row],[  50-54]]</f>
        <v>4760</v>
      </c>
      <c r="M34" s="5">
        <f>Table341011121318141516[[#This Row],[  55-59]]-Table3410111213181415[[#This Row],[  55-59]]</f>
        <v>5180</v>
      </c>
      <c r="N34" s="5">
        <f>Table341011121318141516[[#This Row],[  60-64]]-Table3410111213181415[[#This Row],[  60-64]]</f>
        <v>5440</v>
      </c>
      <c r="O34" s="5">
        <f>Table341011121318141516[[#This Row],[  65-69]]-Table3410111213181415[[#This Row],[  65-69]]</f>
        <v>5260</v>
      </c>
      <c r="P34" s="5">
        <f>Table341011121318141516[[#This Row],[  70-74]]-Table3410111213181415[[#This Row],[  70-74]]</f>
        <v>4820</v>
      </c>
      <c r="Q34" s="5">
        <f>Table341011121318141516[[#This Row],[  75-79]]-Table3410111213181415[[#This Row],[  75-79]]</f>
        <v>3220</v>
      </c>
      <c r="R34" s="5">
        <f>Table341011121318141516[[#This Row],[  80-84]]-Table3410111213181415[[#This Row],[  80-84]]</f>
        <v>2220</v>
      </c>
      <c r="S34" s="5">
        <f>Table341011121318141516[[#This Row],[  85-89]]-Table3410111213181415[[#This Row],[  85-89]]</f>
        <v>1210</v>
      </c>
      <c r="T34" s="5">
        <f>Table341011121318141516[[#This Row],[  90+]]-Table3410111213181415[[#This Row],[  90+]]</f>
        <v>770</v>
      </c>
    </row>
    <row r="35" spans="1:20" x14ac:dyDescent="0.2">
      <c r="A35" s="9" t="s">
        <v>12</v>
      </c>
      <c r="B35" s="6" t="s">
        <v>22</v>
      </c>
      <c r="C35" s="5">
        <f>Table341011121318141516[[#This Row],[Total]]-Table3410111213181415[[#This Row],[Total]]</f>
        <v>0</v>
      </c>
      <c r="D35" s="5">
        <f>Table341011121318141516[[#This Row],[  5-11]]-Table3410111213181415[[#This Row],[  5-11]]</f>
        <v>0</v>
      </c>
      <c r="E35" s="5">
        <f>Table341011121318141516[[#This Row],[  12-17]]-Table3410111213181415[[#This Row],[  12-17]]</f>
        <v>0</v>
      </c>
      <c r="F35" s="5">
        <f>Table341011121318141516[[#This Row],[  18-24]]-Table3410111213181415[[#This Row],[  18-24]]</f>
        <v>0</v>
      </c>
      <c r="G35" s="5">
        <f>Table341011121318141516[[#This Row],[  25-29 ]]-Table3410111213181415[[#This Row],[  25-29 ]]</f>
        <v>0</v>
      </c>
      <c r="H35" s="5">
        <f>Table341011121318141516[[#This Row],[  30-34]]-Table3410111213181415[[#This Row],[  30-34]]</f>
        <v>0</v>
      </c>
      <c r="I35" s="5">
        <f>Table341011121318141516[[#This Row],[  35-39]]-Table3410111213181415[[#This Row],[  35-39]]</f>
        <v>0</v>
      </c>
      <c r="J35" s="5">
        <f>Table341011121318141516[[#This Row],[  40-44]]-Table3410111213181415[[#This Row],[  40-44]]</f>
        <v>0</v>
      </c>
      <c r="K35" s="5">
        <f>Table341011121318141516[[#This Row],[  45-49 ]]-Table3410111213181415[[#This Row],[  45-49 ]]</f>
        <v>0</v>
      </c>
      <c r="L35" s="5">
        <f>Table341011121318141516[[#This Row],[  50-54]]-Table3410111213181415[[#This Row],[  50-54]]</f>
        <v>0</v>
      </c>
      <c r="M35" s="5">
        <f>Table341011121318141516[[#This Row],[  55-59]]-Table3410111213181415[[#This Row],[  55-59]]</f>
        <v>0</v>
      </c>
      <c r="N35" s="5">
        <f>Table341011121318141516[[#This Row],[  60-64]]-Table3410111213181415[[#This Row],[  60-64]]</f>
        <v>0</v>
      </c>
      <c r="O35" s="5">
        <f>Table341011121318141516[[#This Row],[  65-69]]-Table3410111213181415[[#This Row],[  65-69]]</f>
        <v>0</v>
      </c>
      <c r="P35" s="5">
        <f>Table341011121318141516[[#This Row],[  70-74]]-Table3410111213181415[[#This Row],[  70-74]]</f>
        <v>0</v>
      </c>
      <c r="Q35" s="5">
        <f>Table341011121318141516[[#This Row],[  75-79]]-Table3410111213181415[[#This Row],[  75-79]]</f>
        <v>0</v>
      </c>
      <c r="R35" s="5">
        <f>Table341011121318141516[[#This Row],[  80-84]]-Table3410111213181415[[#This Row],[  80-84]]</f>
        <v>0</v>
      </c>
      <c r="S35" s="5">
        <f>Table341011121318141516[[#This Row],[  85-89]]-Table3410111213181415[[#This Row],[  85-89]]</f>
        <v>0</v>
      </c>
      <c r="T35" s="5">
        <f>Table341011121318141516[[#This Row],[  90+]]-Table3410111213181415[[#This Row],[  90+]]</f>
        <v>0</v>
      </c>
    </row>
    <row r="36" spans="1:20" x14ac:dyDescent="0.2">
      <c r="A36" s="9" t="s">
        <v>12</v>
      </c>
      <c r="B36" s="6" t="s">
        <v>0</v>
      </c>
      <c r="C36" s="5">
        <f>Table341011121318141516[[#This Row],[Total]]-Table3410111213181415[[#This Row],[Total]]</f>
        <v>0</v>
      </c>
      <c r="D36" s="5">
        <f>Table341011121318141516[[#This Row],[  5-11]]-Table3410111213181415[[#This Row],[  5-11]]</f>
        <v>0</v>
      </c>
      <c r="E36" s="5">
        <f>Table341011121318141516[[#This Row],[  12-17]]-Table3410111213181415[[#This Row],[  12-17]]</f>
        <v>0</v>
      </c>
      <c r="F36" s="5">
        <f>Table341011121318141516[[#This Row],[  18-24]]-Table3410111213181415[[#This Row],[  18-24]]</f>
        <v>0</v>
      </c>
      <c r="G36" s="5">
        <f>Table341011121318141516[[#This Row],[  25-29 ]]-Table3410111213181415[[#This Row],[  25-29 ]]</f>
        <v>0</v>
      </c>
      <c r="H36" s="5">
        <f>Table341011121318141516[[#This Row],[  30-34]]-Table3410111213181415[[#This Row],[  30-34]]</f>
        <v>0</v>
      </c>
      <c r="I36" s="5">
        <f>Table341011121318141516[[#This Row],[  35-39]]-Table3410111213181415[[#This Row],[  35-39]]</f>
        <v>0</v>
      </c>
      <c r="J36" s="5">
        <f>Table341011121318141516[[#This Row],[  40-44]]-Table3410111213181415[[#This Row],[  40-44]]</f>
        <v>0</v>
      </c>
      <c r="K36" s="5">
        <f>Table341011121318141516[[#This Row],[  45-49 ]]-Table3410111213181415[[#This Row],[  45-49 ]]</f>
        <v>0</v>
      </c>
      <c r="L36" s="5">
        <f>Table341011121318141516[[#This Row],[  50-54]]-Table3410111213181415[[#This Row],[  50-54]]</f>
        <v>0</v>
      </c>
      <c r="M36" s="5">
        <f>Table341011121318141516[[#This Row],[  55-59]]-Table3410111213181415[[#This Row],[  55-59]]</f>
        <v>0</v>
      </c>
      <c r="N36" s="5">
        <f>Table341011121318141516[[#This Row],[  60-64]]-Table3410111213181415[[#This Row],[  60-64]]</f>
        <v>0</v>
      </c>
      <c r="O36" s="5">
        <f>Table341011121318141516[[#This Row],[  65-69]]-Table3410111213181415[[#This Row],[  65-69]]</f>
        <v>0</v>
      </c>
      <c r="P36" s="5">
        <f>Table341011121318141516[[#This Row],[  70-74]]-Table3410111213181415[[#This Row],[  70-74]]</f>
        <v>0</v>
      </c>
      <c r="Q36" s="5">
        <f>Table341011121318141516[[#This Row],[  75-79]]-Table3410111213181415[[#This Row],[  75-79]]</f>
        <v>0</v>
      </c>
      <c r="R36" s="5">
        <f>Table341011121318141516[[#This Row],[  80-84]]-Table3410111213181415[[#This Row],[  80-84]]</f>
        <v>0</v>
      </c>
      <c r="S36" s="5">
        <f>Table341011121318141516[[#This Row],[  85-89]]-Table3410111213181415[[#This Row],[  85-89]]</f>
        <v>0</v>
      </c>
      <c r="T36" s="5">
        <f>Table341011121318141516[[#This Row],[  90+]]-Table3410111213181415[[#This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Table341011121318141516[[#This Row],[Total]]-Table3410111213181415[[#This Row],[Total]]</f>
        <v>0</v>
      </c>
      <c r="D37" s="5">
        <f>Table341011121318141516[[#This Row],[  5-11]]-Table3410111213181415[[#This Row],[  5-11]]</f>
        <v>0</v>
      </c>
      <c r="E37" s="5">
        <f>Table341011121318141516[[#This Row],[  12-17]]-Table3410111213181415[[#This Row],[  12-17]]</f>
        <v>0</v>
      </c>
      <c r="F37" s="5">
        <f>Table341011121318141516[[#This Row],[  18-24]]-Table3410111213181415[[#This Row],[  18-24]]</f>
        <v>0</v>
      </c>
      <c r="G37" s="5">
        <f>Table341011121318141516[[#This Row],[  25-29 ]]-Table3410111213181415[[#This Row],[  25-29 ]]</f>
        <v>0</v>
      </c>
      <c r="H37" s="5">
        <f>Table341011121318141516[[#This Row],[  30-34]]-Table3410111213181415[[#This Row],[  30-34]]</f>
        <v>0</v>
      </c>
      <c r="I37" s="5">
        <f>Table341011121318141516[[#This Row],[  35-39]]-Table3410111213181415[[#This Row],[  35-39]]</f>
        <v>0</v>
      </c>
      <c r="J37" s="5">
        <f>Table341011121318141516[[#This Row],[  40-44]]-Table3410111213181415[[#This Row],[  40-44]]</f>
        <v>0</v>
      </c>
      <c r="K37" s="5">
        <f>Table341011121318141516[[#This Row],[  45-49 ]]-Table3410111213181415[[#This Row],[  45-49 ]]</f>
        <v>0</v>
      </c>
      <c r="L37" s="5">
        <f>Table341011121318141516[[#This Row],[  50-54]]-Table3410111213181415[[#This Row],[  50-54]]</f>
        <v>0</v>
      </c>
      <c r="M37" s="5">
        <f>Table341011121318141516[[#This Row],[  55-59]]-Table3410111213181415[[#This Row],[  55-59]]</f>
        <v>0</v>
      </c>
      <c r="N37" s="5">
        <f>Table341011121318141516[[#This Row],[  60-64]]-Table3410111213181415[[#This Row],[  60-64]]</f>
        <v>0</v>
      </c>
      <c r="O37" s="5">
        <f>Table341011121318141516[[#This Row],[  65-69]]-Table3410111213181415[[#This Row],[  65-69]]</f>
        <v>0</v>
      </c>
      <c r="P37" s="5">
        <f>Table341011121318141516[[#This Row],[  70-74]]-Table3410111213181415[[#This Row],[  70-74]]</f>
        <v>0</v>
      </c>
      <c r="Q37" s="5">
        <f>Table341011121318141516[[#This Row],[  75-79]]-Table3410111213181415[[#This Row],[  75-79]]</f>
        <v>0</v>
      </c>
      <c r="R37" s="5">
        <f>Table341011121318141516[[#This Row],[  80-84]]-Table3410111213181415[[#This Row],[  80-84]]</f>
        <v>0</v>
      </c>
      <c r="S37" s="5">
        <f>Table341011121318141516[[#This Row],[  85-89]]-Table3410111213181415[[#This Row],[  85-89]]</f>
        <v>0</v>
      </c>
      <c r="T37" s="5">
        <f>Table341011121318141516[[#This Row],[  90+]]-Table3410111213181415[[#This Row],[  90+]]</f>
        <v>0</v>
      </c>
    </row>
    <row r="38" spans="1:20" x14ac:dyDescent="0.2">
      <c r="A38" s="9" t="s">
        <v>13</v>
      </c>
      <c r="B38" s="6" t="s">
        <v>22</v>
      </c>
      <c r="C38" s="5">
        <f>Table341011121318141516[[#This Row],[Total]]-Table3410111213181415[[#This Row],[Total]]</f>
        <v>53565</v>
      </c>
      <c r="D38" s="5">
        <f>Table341011121318141516[[#This Row],[  5-11]]-Table3410111213181415[[#This Row],[  5-11]]</f>
        <v>5413.6208685406355</v>
      </c>
      <c r="E38" s="5">
        <f>Table341011121318141516[[#This Row],[  12-17]]-Table3410111213181415[[#This Row],[  12-17]]</f>
        <v>3019.4521107343257</v>
      </c>
      <c r="F38" s="5">
        <f>Table341011121318141516[[#This Row],[  18-24]]-Table3410111213181415[[#This Row],[  18-24]]</f>
        <v>2746.9270207250388</v>
      </c>
      <c r="G38" s="5">
        <f>Table341011121318141516[[#This Row],[  25-29 ]]-Table3410111213181415[[#This Row],[  25-29 ]]</f>
        <v>3215</v>
      </c>
      <c r="H38" s="5">
        <f>Table341011121318141516[[#This Row],[  30-34]]-Table3410111213181415[[#This Row],[  30-34]]</f>
        <v>3565</v>
      </c>
      <c r="I38" s="5">
        <f>Table341011121318141516[[#This Row],[  35-39]]-Table3410111213181415[[#This Row],[  35-39]]</f>
        <v>3110</v>
      </c>
      <c r="J38" s="5">
        <f>Table341011121318141516[[#This Row],[  40-44]]-Table3410111213181415[[#This Row],[  40-44]]</f>
        <v>3170</v>
      </c>
      <c r="K38" s="5">
        <f>Table341011121318141516[[#This Row],[  45-49 ]]-Table3410111213181415[[#This Row],[  45-49 ]]</f>
        <v>3470</v>
      </c>
      <c r="L38" s="5">
        <f>Table341011121318141516[[#This Row],[  50-54]]-Table3410111213181415[[#This Row],[  50-54]]</f>
        <v>3885</v>
      </c>
      <c r="M38" s="5">
        <f>Table341011121318141516[[#This Row],[  55-59]]-Table3410111213181415[[#This Row],[  55-59]]</f>
        <v>4280</v>
      </c>
      <c r="N38" s="5">
        <f>Table341011121318141516[[#This Row],[  60-64]]-Table3410111213181415[[#This Row],[  60-64]]</f>
        <v>4240</v>
      </c>
      <c r="O38" s="5">
        <f>Table341011121318141516[[#This Row],[  65-69]]-Table3410111213181415[[#This Row],[  65-69]]</f>
        <v>3890</v>
      </c>
      <c r="P38" s="5">
        <f>Table341011121318141516[[#This Row],[  70-74]]-Table3410111213181415[[#This Row],[  70-74]]</f>
        <v>3640</v>
      </c>
      <c r="Q38" s="5">
        <f>Table341011121318141516[[#This Row],[  75-79]]-Table3410111213181415[[#This Row],[  75-79]]</f>
        <v>2510</v>
      </c>
      <c r="R38" s="5">
        <f>Table341011121318141516[[#This Row],[  80-84]]-Table3410111213181415[[#This Row],[  80-84]]</f>
        <v>1800</v>
      </c>
      <c r="S38" s="5">
        <f>Table341011121318141516[[#This Row],[  85-89]]-Table3410111213181415[[#This Row],[  85-89]]</f>
        <v>1050</v>
      </c>
      <c r="T38" s="5">
        <f>Table341011121318141516[[#This Row],[  90+]]-Table3410111213181415[[#This Row],[  90+]]</f>
        <v>560</v>
      </c>
    </row>
    <row r="39" spans="1:20" x14ac:dyDescent="0.2">
      <c r="A39" s="9" t="s">
        <v>13</v>
      </c>
      <c r="B39" s="6" t="s">
        <v>0</v>
      </c>
      <c r="C39" s="5">
        <f>Table341011121318141516[[#This Row],[Total]]-Table3410111213181415[[#This Row],[Total]]</f>
        <v>26775</v>
      </c>
      <c r="D39" s="5">
        <f>Table341011121318141516[[#This Row],[  5-11]]-Table3410111213181415[[#This Row],[  5-11]]</f>
        <v>2871.5168518742112</v>
      </c>
      <c r="E39" s="5">
        <f>Table341011121318141516[[#This Row],[  12-17]]-Table3410111213181415[[#This Row],[  12-17]]</f>
        <v>1610.5556421381573</v>
      </c>
      <c r="F39" s="5">
        <f>Table341011121318141516[[#This Row],[  18-24]]-Table3410111213181415[[#This Row],[  18-24]]</f>
        <v>1462.9275059876318</v>
      </c>
      <c r="G39" s="5">
        <f>Table341011121318141516[[#This Row],[  25-29 ]]-Table3410111213181415[[#This Row],[  25-29 ]]</f>
        <v>1730</v>
      </c>
      <c r="H39" s="5">
        <f>Table341011121318141516[[#This Row],[  30-34]]-Table3410111213181415[[#This Row],[  30-34]]</f>
        <v>1780</v>
      </c>
      <c r="I39" s="5">
        <f>Table341011121318141516[[#This Row],[  35-39]]-Table3410111213181415[[#This Row],[  35-39]]</f>
        <v>1565</v>
      </c>
      <c r="J39" s="5">
        <f>Table341011121318141516[[#This Row],[  40-44]]-Table3410111213181415[[#This Row],[  40-44]]</f>
        <v>1585</v>
      </c>
      <c r="K39" s="5">
        <f>Table341011121318141516[[#This Row],[  45-49 ]]-Table3410111213181415[[#This Row],[  45-49 ]]</f>
        <v>1710</v>
      </c>
      <c r="L39" s="5">
        <f>Table341011121318141516[[#This Row],[  50-54]]-Table3410111213181415[[#This Row],[  50-54]]</f>
        <v>1875</v>
      </c>
      <c r="M39" s="5">
        <f>Table341011121318141516[[#This Row],[  55-59]]-Table3410111213181415[[#This Row],[  55-59]]</f>
        <v>2080</v>
      </c>
      <c r="N39" s="5">
        <f>Table341011121318141516[[#This Row],[  60-64]]-Table3410111213181415[[#This Row],[  60-64]]</f>
        <v>2100</v>
      </c>
      <c r="O39" s="5">
        <f>Table341011121318141516[[#This Row],[  65-69]]-Table3410111213181415[[#This Row],[  65-69]]</f>
        <v>1980</v>
      </c>
      <c r="P39" s="5">
        <f>Table341011121318141516[[#This Row],[  70-74]]-Table3410111213181415[[#This Row],[  70-74]]</f>
        <v>1815</v>
      </c>
      <c r="Q39" s="5">
        <f>Table341011121318141516[[#This Row],[  75-79]]-Table3410111213181415[[#This Row],[  75-79]]</f>
        <v>1195</v>
      </c>
      <c r="R39" s="5">
        <f>Table341011121318141516[[#This Row],[  80-84]]-Table3410111213181415[[#This Row],[  80-84]]</f>
        <v>775</v>
      </c>
      <c r="S39" s="5">
        <f>Table341011121318141516[[#This Row],[  85-89]]-Table3410111213181415[[#This Row],[  85-89]]</f>
        <v>450</v>
      </c>
      <c r="T39" s="5">
        <f>Table341011121318141516[[#This Row],[  90+]]-Table3410111213181415[[#This Row],[  90+]]</f>
        <v>190</v>
      </c>
    </row>
    <row r="40" spans="1:20" x14ac:dyDescent="0.2">
      <c r="A40" s="9" t="s">
        <v>13</v>
      </c>
      <c r="B40" s="6" t="s">
        <v>23</v>
      </c>
      <c r="C40" s="5">
        <f>Table341011121318141516[[#This Row],[Total]]-Table3410111213181415[[#This Row],[Total]]</f>
        <v>26790</v>
      </c>
      <c r="D40" s="5">
        <f>Table341011121318141516[[#This Row],[  5-11]]-Table3410111213181415[[#This Row],[  5-11]]</f>
        <v>2541.8572825654296</v>
      </c>
      <c r="E40" s="5">
        <f>Table341011121318141516[[#This Row],[  12-17]]-Table3410111213181415[[#This Row],[  12-17]]</f>
        <v>1409.2437634606094</v>
      </c>
      <c r="F40" s="5">
        <f>Table341011121318141516[[#This Row],[  18-24]]-Table3410111213181415[[#This Row],[  18-24]]</f>
        <v>1283.8989539739614</v>
      </c>
      <c r="G40" s="5">
        <f>Table341011121318141516[[#This Row],[  25-29 ]]-Table3410111213181415[[#This Row],[  25-29 ]]</f>
        <v>1485</v>
      </c>
      <c r="H40" s="5">
        <f>Table341011121318141516[[#This Row],[  30-34]]-Table3410111213181415[[#This Row],[  30-34]]</f>
        <v>1785</v>
      </c>
      <c r="I40" s="5">
        <f>Table341011121318141516[[#This Row],[  35-39]]-Table3410111213181415[[#This Row],[  35-39]]</f>
        <v>1545</v>
      </c>
      <c r="J40" s="5">
        <f>Table341011121318141516[[#This Row],[  40-44]]-Table3410111213181415[[#This Row],[  40-44]]</f>
        <v>1585</v>
      </c>
      <c r="K40" s="5">
        <f>Table341011121318141516[[#This Row],[  45-49 ]]-Table3410111213181415[[#This Row],[  45-49 ]]</f>
        <v>1760</v>
      </c>
      <c r="L40" s="5">
        <f>Table341011121318141516[[#This Row],[  50-54]]-Table3410111213181415[[#This Row],[  50-54]]</f>
        <v>2010</v>
      </c>
      <c r="M40" s="5">
        <f>Table341011121318141516[[#This Row],[  55-59]]-Table3410111213181415[[#This Row],[  55-59]]</f>
        <v>2200</v>
      </c>
      <c r="N40" s="5">
        <f>Table341011121318141516[[#This Row],[  60-64]]-Table3410111213181415[[#This Row],[  60-64]]</f>
        <v>2140</v>
      </c>
      <c r="O40" s="5">
        <f>Table341011121318141516[[#This Row],[  65-69]]-Table3410111213181415[[#This Row],[  65-69]]</f>
        <v>1910</v>
      </c>
      <c r="P40" s="5">
        <f>Table341011121318141516[[#This Row],[  70-74]]-Table3410111213181415[[#This Row],[  70-74]]</f>
        <v>1825</v>
      </c>
      <c r="Q40" s="5">
        <f>Table341011121318141516[[#This Row],[  75-79]]-Table3410111213181415[[#This Row],[  75-79]]</f>
        <v>1315</v>
      </c>
      <c r="R40" s="5">
        <f>Table341011121318141516[[#This Row],[  80-84]]-Table3410111213181415[[#This Row],[  80-84]]</f>
        <v>1025</v>
      </c>
      <c r="S40" s="5">
        <f>Table341011121318141516[[#This Row],[  85-89]]-Table3410111213181415[[#This Row],[  85-89]]</f>
        <v>600</v>
      </c>
      <c r="T40" s="5">
        <f>Table341011121318141516[[#This Row],[  90+]]-Table3410111213181415[[#This Row],[  90+]]</f>
        <v>370</v>
      </c>
    </row>
    <row r="41" spans="1:20" x14ac:dyDescent="0.2">
      <c r="A41" s="9" t="s">
        <v>14</v>
      </c>
      <c r="B41" s="6" t="s">
        <v>22</v>
      </c>
      <c r="C41" s="5">
        <f>Table341011121318141516[[#This Row],[Total]]-Table3410111213181415[[#This Row],[Total]]</f>
        <v>297740</v>
      </c>
      <c r="D41" s="5">
        <f>Table341011121318141516[[#This Row],[  5-11]]-Table3410111213181415[[#This Row],[  5-11]]</f>
        <v>36040.860080054415</v>
      </c>
      <c r="E41" s="5">
        <f>Table341011121318141516[[#This Row],[  12-17]]-Table3410111213181415[[#This Row],[  12-17]]</f>
        <v>20110.836468972397</v>
      </c>
      <c r="F41" s="5">
        <f>Table341011121318141516[[#This Row],[  18-24]]-Table3410111213181415[[#This Row],[  18-24]]</f>
        <v>18298.303450973192</v>
      </c>
      <c r="G41" s="5">
        <f>Table341011121318141516[[#This Row],[  25-29 ]]-Table3410111213181415[[#This Row],[  25-29 ]]</f>
        <v>21940</v>
      </c>
      <c r="H41" s="5">
        <f>Table341011121318141516[[#This Row],[  30-34]]-Table3410111213181415[[#This Row],[  30-34]]</f>
        <v>22000</v>
      </c>
      <c r="I41" s="5">
        <f>Table341011121318141516[[#This Row],[  35-39]]-Table3410111213181415[[#This Row],[  35-39]]</f>
        <v>20220</v>
      </c>
      <c r="J41" s="5">
        <f>Table341011121318141516[[#This Row],[  40-44]]-Table3410111213181415[[#This Row],[  40-44]]</f>
        <v>18590</v>
      </c>
      <c r="K41" s="5">
        <f>Table341011121318141516[[#This Row],[  45-49 ]]-Table3410111213181415[[#This Row],[  45-49 ]]</f>
        <v>19880</v>
      </c>
      <c r="L41" s="5">
        <f>Table341011121318141516[[#This Row],[  50-54]]-Table3410111213181415[[#This Row],[  50-54]]</f>
        <v>20360</v>
      </c>
      <c r="M41" s="5">
        <f>Table341011121318141516[[#This Row],[  55-59]]-Table3410111213181415[[#This Row],[  55-59]]</f>
        <v>21220</v>
      </c>
      <c r="N41" s="5">
        <f>Table341011121318141516[[#This Row],[  60-64]]-Table3410111213181415[[#This Row],[  60-64]]</f>
        <v>20570</v>
      </c>
      <c r="O41" s="5">
        <f>Table341011121318141516[[#This Row],[  65-69]]-Table3410111213181415[[#This Row],[  65-69]]</f>
        <v>17940</v>
      </c>
      <c r="P41" s="5">
        <f>Table341011121318141516[[#This Row],[  70-74]]-Table3410111213181415[[#This Row],[  70-74]]</f>
        <v>15700</v>
      </c>
      <c r="Q41" s="5">
        <f>Table341011121318141516[[#This Row],[  75-79]]-Table3410111213181415[[#This Row],[  75-79]]</f>
        <v>10440</v>
      </c>
      <c r="R41" s="5">
        <f>Table341011121318141516[[#This Row],[  80-84]]-Table3410111213181415[[#This Row],[  80-84]]</f>
        <v>7560</v>
      </c>
      <c r="S41" s="5">
        <f>Table341011121318141516[[#This Row],[  85-89]]-Table3410111213181415[[#This Row],[  85-89]]</f>
        <v>4220</v>
      </c>
      <c r="T41" s="5">
        <f>Table341011121318141516[[#This Row],[  90+]]-Table3410111213181415[[#This Row],[  90+]]</f>
        <v>2650</v>
      </c>
    </row>
    <row r="42" spans="1:20" x14ac:dyDescent="0.2">
      <c r="A42" s="9" t="s">
        <v>14</v>
      </c>
      <c r="B42" s="6" t="s">
        <v>0</v>
      </c>
      <c r="C42" s="5">
        <f>Table341011121318141516[[#This Row],[Total]]-Table3410111213181415[[#This Row],[Total]]</f>
        <v>147680</v>
      </c>
      <c r="D42" s="5">
        <f>Table341011121318141516[[#This Row],[  5-11]]-Table3410111213181415[[#This Row],[  5-11]]</f>
        <v>18096.315562184089</v>
      </c>
      <c r="E42" s="5">
        <f>Table341011121318141516[[#This Row],[  12-17]]-Table3410111213181415[[#This Row],[  12-17]]</f>
        <v>10110.793949127725</v>
      </c>
      <c r="F42" s="5">
        <f>Table341011121318141516[[#This Row],[  18-24]]-Table3410111213181415[[#This Row],[  18-24]]</f>
        <v>9172.8904886881865</v>
      </c>
      <c r="G42" s="5">
        <f>Table341011121318141516[[#This Row],[  25-29 ]]-Table3410111213181415[[#This Row],[  25-29 ]]</f>
        <v>11530</v>
      </c>
      <c r="H42" s="5">
        <f>Table341011121318141516[[#This Row],[  30-34]]-Table3410111213181415[[#This Row],[  30-34]]</f>
        <v>11200</v>
      </c>
      <c r="I42" s="5">
        <f>Table341011121318141516[[#This Row],[  35-39]]-Table3410111213181415[[#This Row],[  35-39]]</f>
        <v>10150</v>
      </c>
      <c r="J42" s="5">
        <f>Table341011121318141516[[#This Row],[  40-44]]-Table3410111213181415[[#This Row],[  40-44]]</f>
        <v>9290</v>
      </c>
      <c r="K42" s="5">
        <f>Table341011121318141516[[#This Row],[  45-49 ]]-Table3410111213181415[[#This Row],[  45-49 ]]</f>
        <v>9930</v>
      </c>
      <c r="L42" s="5">
        <f>Table341011121318141516[[#This Row],[  50-54]]-Table3410111213181415[[#This Row],[  50-54]]</f>
        <v>9960</v>
      </c>
      <c r="M42" s="5">
        <f>Table341011121318141516[[#This Row],[  55-59]]-Table3410111213181415[[#This Row],[  55-59]]</f>
        <v>10490</v>
      </c>
      <c r="N42" s="5">
        <f>Table341011121318141516[[#This Row],[  60-64]]-Table3410111213181415[[#This Row],[  60-64]]</f>
        <v>10120</v>
      </c>
      <c r="O42" s="5">
        <f>Table341011121318141516[[#This Row],[  65-69]]-Table3410111213181415[[#This Row],[  65-69]]</f>
        <v>8900</v>
      </c>
      <c r="P42" s="5">
        <f>Table341011121318141516[[#This Row],[  70-74]]-Table3410111213181415[[#This Row],[  70-74]]</f>
        <v>7770</v>
      </c>
      <c r="Q42" s="5">
        <f>Table341011121318141516[[#This Row],[  75-79]]-Table3410111213181415[[#This Row],[  75-79]]</f>
        <v>4970</v>
      </c>
      <c r="R42" s="5">
        <f>Table341011121318141516[[#This Row],[  80-84]]-Table3410111213181415[[#This Row],[  80-84]]</f>
        <v>3380</v>
      </c>
      <c r="S42" s="5">
        <f>Table341011121318141516[[#This Row],[  85-89]]-Table3410111213181415[[#This Row],[  85-89]]</f>
        <v>1720</v>
      </c>
      <c r="T42" s="5">
        <f>Table341011121318141516[[#This Row],[  90+]]-Table3410111213181415[[#This Row],[  90+]]</f>
        <v>890</v>
      </c>
    </row>
    <row r="43" spans="1:20" x14ac:dyDescent="0.2">
      <c r="A43" s="9" t="s">
        <v>14</v>
      </c>
      <c r="B43" s="6" t="s">
        <v>23</v>
      </c>
      <c r="C43" s="5">
        <f>Table341011121318141516[[#This Row],[Total]]-Table3410111213181415[[#This Row],[Total]]</f>
        <v>150060</v>
      </c>
      <c r="D43" s="5">
        <f>Table341011121318141516[[#This Row],[  5-11]]-Table3410111213181415[[#This Row],[  5-11]]</f>
        <v>17944.188696771944</v>
      </c>
      <c r="E43" s="5">
        <f>Table341011121318141516[[#This Row],[  12-17]]-Table3410111213181415[[#This Row],[  12-17]]</f>
        <v>10000.101746613416</v>
      </c>
      <c r="F43" s="5">
        <f>Table341011121318141516[[#This Row],[  18-24]]-Table3410111213181415[[#This Row],[  18-24]]</f>
        <v>9125.7095566146418</v>
      </c>
      <c r="G43" s="5">
        <f>Table341011121318141516[[#This Row],[  25-29 ]]-Table3410111213181415[[#This Row],[  25-29 ]]</f>
        <v>10410</v>
      </c>
      <c r="H43" s="5">
        <f>Table341011121318141516[[#This Row],[  30-34]]-Table3410111213181415[[#This Row],[  30-34]]</f>
        <v>10800</v>
      </c>
      <c r="I43" s="5">
        <f>Table341011121318141516[[#This Row],[  35-39]]-Table3410111213181415[[#This Row],[  35-39]]</f>
        <v>10070</v>
      </c>
      <c r="J43" s="5">
        <f>Table341011121318141516[[#This Row],[  40-44]]-Table3410111213181415[[#This Row],[  40-44]]</f>
        <v>9300</v>
      </c>
      <c r="K43" s="5">
        <f>Table341011121318141516[[#This Row],[  45-49 ]]-Table3410111213181415[[#This Row],[  45-49 ]]</f>
        <v>9950</v>
      </c>
      <c r="L43" s="5">
        <f>Table341011121318141516[[#This Row],[  50-54]]-Table3410111213181415[[#This Row],[  50-54]]</f>
        <v>10400</v>
      </c>
      <c r="M43" s="5">
        <f>Table341011121318141516[[#This Row],[  55-59]]-Table3410111213181415[[#This Row],[  55-59]]</f>
        <v>10730</v>
      </c>
      <c r="N43" s="5">
        <f>Table341011121318141516[[#This Row],[  60-64]]-Table3410111213181415[[#This Row],[  60-64]]</f>
        <v>10450</v>
      </c>
      <c r="O43" s="5">
        <f>Table341011121318141516[[#This Row],[  65-69]]-Table3410111213181415[[#This Row],[  65-69]]</f>
        <v>9040</v>
      </c>
      <c r="P43" s="5">
        <f>Table341011121318141516[[#This Row],[  70-74]]-Table3410111213181415[[#This Row],[  70-74]]</f>
        <v>7930</v>
      </c>
      <c r="Q43" s="5">
        <f>Table341011121318141516[[#This Row],[  75-79]]-Table3410111213181415[[#This Row],[  75-79]]</f>
        <v>5470</v>
      </c>
      <c r="R43" s="5">
        <f>Table341011121318141516[[#This Row],[  80-84]]-Table3410111213181415[[#This Row],[  80-84]]</f>
        <v>4180</v>
      </c>
      <c r="S43" s="5">
        <f>Table341011121318141516[[#This Row],[  85-89]]-Table3410111213181415[[#This Row],[  85-89]]</f>
        <v>2500</v>
      </c>
      <c r="T43" s="5">
        <f>Table341011121318141516[[#This Row],[  90+]]-Table3410111213181415[[#This Row],[  90+]]</f>
        <v>1760</v>
      </c>
    </row>
    <row r="44" spans="1:20" x14ac:dyDescent="0.2">
      <c r="A44" s="9" t="s">
        <v>15</v>
      </c>
      <c r="B44" s="6" t="s">
        <v>22</v>
      </c>
      <c r="C44" s="5">
        <f>Table341011121318141516[[#This Row],[Total]]-Table3410111213181415[[#This Row],[Total]]</f>
        <v>22125</v>
      </c>
      <c r="D44" s="5">
        <f>Table341011121318141516[[#This Row],[  5-11]]-Table3410111213181415[[#This Row],[  5-11]]</f>
        <v>2979.6799205553953</v>
      </c>
      <c r="E44" s="5">
        <f>Table341011121318141516[[#This Row],[  12-17]]-Table3410111213181415[[#This Row],[  12-17]]</f>
        <v>859.67285694887778</v>
      </c>
      <c r="F44" s="5">
        <f>Table341011121318141516[[#This Row],[  18-24]]-Table3410111213181415[[#This Row],[  18-24]]</f>
        <v>550.64722249572742</v>
      </c>
      <c r="G44" s="5">
        <f>Table341011121318141516[[#This Row],[  25-29 ]]-Table3410111213181415[[#This Row],[  25-29 ]]</f>
        <v>1225</v>
      </c>
      <c r="H44" s="5">
        <f>Table341011121318141516[[#This Row],[  30-34]]-Table3410111213181415[[#This Row],[  30-34]]</f>
        <v>1370</v>
      </c>
      <c r="I44" s="5">
        <f>Table341011121318141516[[#This Row],[  35-39]]-Table3410111213181415[[#This Row],[  35-39]]</f>
        <v>1300</v>
      </c>
      <c r="J44" s="5">
        <f>Table341011121318141516[[#This Row],[  40-44]]-Table3410111213181415[[#This Row],[  40-44]]</f>
        <v>1360</v>
      </c>
      <c r="K44" s="5">
        <f>Table341011121318141516[[#This Row],[  45-49 ]]-Table3410111213181415[[#This Row],[  45-49 ]]</f>
        <v>1540</v>
      </c>
      <c r="L44" s="5">
        <f>Table341011121318141516[[#This Row],[  50-54]]-Table3410111213181415[[#This Row],[  50-54]]</f>
        <v>1640</v>
      </c>
      <c r="M44" s="5">
        <f>Table341011121318141516[[#This Row],[  55-59]]-Table3410111213181415[[#This Row],[  55-59]]</f>
        <v>1770</v>
      </c>
      <c r="N44" s="5">
        <f>Table341011121318141516[[#This Row],[  60-64]]-Table3410111213181415[[#This Row],[  60-64]]</f>
        <v>1820</v>
      </c>
      <c r="O44" s="5">
        <f>Table341011121318141516[[#This Row],[  65-69]]-Table3410111213181415[[#This Row],[  65-69]]</f>
        <v>1750</v>
      </c>
      <c r="P44" s="5">
        <f>Table341011121318141516[[#This Row],[  70-74]]-Table3410111213181415[[#This Row],[  70-74]]</f>
        <v>1545</v>
      </c>
      <c r="Q44" s="5">
        <f>Table341011121318141516[[#This Row],[  75-79]]-Table3410111213181415[[#This Row],[  75-79]]</f>
        <v>1015</v>
      </c>
      <c r="R44" s="5">
        <f>Table341011121318141516[[#This Row],[  80-84]]-Table3410111213181415[[#This Row],[  80-84]]</f>
        <v>735</v>
      </c>
      <c r="S44" s="5">
        <f>Table341011121318141516[[#This Row],[  85-89]]-Table3410111213181415[[#This Row],[  85-89]]</f>
        <v>420</v>
      </c>
      <c r="T44" s="5">
        <f>Table341011121318141516[[#This Row],[  90+]]-Table3410111213181415[[#This Row],[  90+]]</f>
        <v>245</v>
      </c>
    </row>
    <row r="45" spans="1:20" x14ac:dyDescent="0.2">
      <c r="A45" s="9" t="s">
        <v>15</v>
      </c>
      <c r="B45" s="6" t="s">
        <v>0</v>
      </c>
      <c r="C45" s="5">
        <f>Table341011121318141516[[#This Row],[Total]]-Table3410111213181415[[#This Row],[Total]]</f>
        <v>11150</v>
      </c>
      <c r="D45" s="5">
        <f>Table341011121318141516[[#This Row],[  5-11]]-Table3410111213181415[[#This Row],[  5-11]]</f>
        <v>1540.9283652980221</v>
      </c>
      <c r="E45" s="5">
        <f>Table341011121318141516[[#This Row],[  12-17]]-Table3410111213181415[[#This Row],[  12-17]]</f>
        <v>449.37150703335828</v>
      </c>
      <c r="F45" s="5">
        <f>Table341011121318141516[[#This Row],[  18-24]]-Table3410111213181415[[#This Row],[  18-24]]</f>
        <v>289.70012766861942</v>
      </c>
      <c r="G45" s="5">
        <f>Table341011121318141516[[#This Row],[  25-29 ]]-Table3410111213181415[[#This Row],[  25-29 ]]</f>
        <v>675</v>
      </c>
      <c r="H45" s="5">
        <f>Table341011121318141516[[#This Row],[  30-34]]-Table3410111213181415[[#This Row],[  30-34]]</f>
        <v>690</v>
      </c>
      <c r="I45" s="5">
        <f>Table341011121318141516[[#This Row],[  35-39]]-Table3410111213181415[[#This Row],[  35-39]]</f>
        <v>665</v>
      </c>
      <c r="J45" s="5">
        <f>Table341011121318141516[[#This Row],[  40-44]]-Table3410111213181415[[#This Row],[  40-44]]</f>
        <v>710</v>
      </c>
      <c r="K45" s="5">
        <f>Table341011121318141516[[#This Row],[  45-49 ]]-Table3410111213181415[[#This Row],[  45-49 ]]</f>
        <v>795</v>
      </c>
      <c r="L45" s="5">
        <f>Table341011121318141516[[#This Row],[  50-54]]-Table3410111213181415[[#This Row],[  50-54]]</f>
        <v>815</v>
      </c>
      <c r="M45" s="5">
        <f>Table341011121318141516[[#This Row],[  55-59]]-Table3410111213181415[[#This Row],[  55-59]]</f>
        <v>880</v>
      </c>
      <c r="N45" s="5">
        <f>Table341011121318141516[[#This Row],[  60-64]]-Table3410111213181415[[#This Row],[  60-64]]</f>
        <v>910</v>
      </c>
      <c r="O45" s="5">
        <f>Table341011121318141516[[#This Row],[  65-69]]-Table3410111213181415[[#This Row],[  65-69]]</f>
        <v>880</v>
      </c>
      <c r="P45" s="5">
        <f>Table341011121318141516[[#This Row],[  70-74]]-Table3410111213181415[[#This Row],[  70-74]]</f>
        <v>775</v>
      </c>
      <c r="Q45" s="5">
        <f>Table341011121318141516[[#This Row],[  75-79]]-Table3410111213181415[[#This Row],[  75-79]]</f>
        <v>490</v>
      </c>
      <c r="R45" s="5">
        <f>Table341011121318141516[[#This Row],[  80-84]]-Table3410111213181415[[#This Row],[  80-84]]</f>
        <v>330</v>
      </c>
      <c r="S45" s="5">
        <f>Table341011121318141516[[#This Row],[  85-89]]-Table3410111213181415[[#This Row],[  85-89]]</f>
        <v>185</v>
      </c>
      <c r="T45" s="5">
        <f>Table341011121318141516[[#This Row],[  90+]]-Table3410111213181415[[#This Row],[  90+]]</f>
        <v>70</v>
      </c>
    </row>
    <row r="46" spans="1:20" x14ac:dyDescent="0.2">
      <c r="A46" s="9" t="s">
        <v>15</v>
      </c>
      <c r="B46" s="6" t="s">
        <v>23</v>
      </c>
      <c r="C46" s="5">
        <f>Table341011121318141516[[#This Row],[Total]]-Table3410111213181415[[#This Row],[Total]]</f>
        <v>10975</v>
      </c>
      <c r="D46" s="5">
        <f>Table341011121318141516[[#This Row],[  5-11]]-Table3410111213181415[[#This Row],[  5-11]]</f>
        <v>1438.4088513623221</v>
      </c>
      <c r="E46" s="5">
        <f>Table341011121318141516[[#This Row],[  12-17]]-Table3410111213181415[[#This Row],[  12-17]]</f>
        <v>410.56021484714302</v>
      </c>
      <c r="F46" s="5">
        <f>Table341011121318141516[[#This Row],[  18-24]]-Table3410111213181415[[#This Row],[  18-24]]</f>
        <v>261.03093379053507</v>
      </c>
      <c r="G46" s="5">
        <f>Table341011121318141516[[#This Row],[  25-29 ]]-Table3410111213181415[[#This Row],[  25-29 ]]</f>
        <v>550</v>
      </c>
      <c r="H46" s="5">
        <f>Table341011121318141516[[#This Row],[  30-34]]-Table3410111213181415[[#This Row],[  30-34]]</f>
        <v>680</v>
      </c>
      <c r="I46" s="5">
        <f>Table341011121318141516[[#This Row],[  35-39]]-Table3410111213181415[[#This Row],[  35-39]]</f>
        <v>635</v>
      </c>
      <c r="J46" s="5">
        <f>Table341011121318141516[[#This Row],[  40-44]]-Table3410111213181415[[#This Row],[  40-44]]</f>
        <v>650</v>
      </c>
      <c r="K46" s="5">
        <f>Table341011121318141516[[#This Row],[  45-49 ]]-Table3410111213181415[[#This Row],[  45-49 ]]</f>
        <v>745</v>
      </c>
      <c r="L46" s="5">
        <f>Table341011121318141516[[#This Row],[  50-54]]-Table3410111213181415[[#This Row],[  50-54]]</f>
        <v>825</v>
      </c>
      <c r="M46" s="5">
        <f>Table341011121318141516[[#This Row],[  55-59]]-Table3410111213181415[[#This Row],[  55-59]]</f>
        <v>890</v>
      </c>
      <c r="N46" s="5">
        <f>Table341011121318141516[[#This Row],[  60-64]]-Table3410111213181415[[#This Row],[  60-64]]</f>
        <v>910</v>
      </c>
      <c r="O46" s="5">
        <f>Table341011121318141516[[#This Row],[  65-69]]-Table3410111213181415[[#This Row],[  65-69]]</f>
        <v>870</v>
      </c>
      <c r="P46" s="5">
        <f>Table341011121318141516[[#This Row],[  70-74]]-Table3410111213181415[[#This Row],[  70-74]]</f>
        <v>770</v>
      </c>
      <c r="Q46" s="5">
        <f>Table341011121318141516[[#This Row],[  75-79]]-Table3410111213181415[[#This Row],[  75-79]]</f>
        <v>525</v>
      </c>
      <c r="R46" s="5">
        <f>Table341011121318141516[[#This Row],[  80-84]]-Table3410111213181415[[#This Row],[  80-84]]</f>
        <v>405</v>
      </c>
      <c r="S46" s="5">
        <f>Table341011121318141516[[#This Row],[  85-89]]-Table3410111213181415[[#This Row],[  85-89]]</f>
        <v>235</v>
      </c>
      <c r="T46" s="5">
        <f>Table341011121318141516[[#This Row],[  90+]]-Table3410111213181415[[#This Row],[  90+]]</f>
        <v>175</v>
      </c>
    </row>
    <row r="47" spans="1:20" x14ac:dyDescent="0.2">
      <c r="A47" s="9" t="s">
        <v>16</v>
      </c>
      <c r="B47" s="6" t="s">
        <v>22</v>
      </c>
      <c r="C47" s="5">
        <f>Table341011121318141516[[#This Row],[Total]]-Table3410111213181415[[#This Row],[Total]]</f>
        <v>94560</v>
      </c>
      <c r="D47" s="5">
        <f>Table341011121318141516[[#This Row],[  5-11]]-Table3410111213181415[[#This Row],[  5-11]]</f>
        <v>10778.335039123494</v>
      </c>
      <c r="E47" s="5">
        <f>Table341011121318141516[[#This Row],[  12-17]]-Table3410111213181415[[#This Row],[  12-17]]</f>
        <v>5466.186917248494</v>
      </c>
      <c r="F47" s="5">
        <f>Table341011121318141516[[#This Row],[  18-24]]-Table3410111213181415[[#This Row],[  18-24]]</f>
        <v>4815.4780436280107</v>
      </c>
      <c r="G47" s="5">
        <f>Table341011121318141516[[#This Row],[  25-29 ]]-Table3410111213181415[[#This Row],[  25-29 ]]</f>
        <v>5460</v>
      </c>
      <c r="H47" s="5">
        <f>Table341011121318141516[[#This Row],[  30-34]]-Table3410111213181415[[#This Row],[  30-34]]</f>
        <v>6160</v>
      </c>
      <c r="I47" s="5">
        <f>Table341011121318141516[[#This Row],[  35-39]]-Table3410111213181415[[#This Row],[  35-39]]</f>
        <v>6350</v>
      </c>
      <c r="J47" s="5">
        <f>Table341011121318141516[[#This Row],[  40-44]]-Table3410111213181415[[#This Row],[  40-44]]</f>
        <v>6135</v>
      </c>
      <c r="K47" s="5">
        <f>Table341011121318141516[[#This Row],[  45-49 ]]-Table3410111213181415[[#This Row],[  45-49 ]]</f>
        <v>6665</v>
      </c>
      <c r="L47" s="5">
        <f>Table341011121318141516[[#This Row],[  50-54]]-Table3410111213181415[[#This Row],[  50-54]]</f>
        <v>6980</v>
      </c>
      <c r="M47" s="5">
        <f>Table341011121318141516[[#This Row],[  55-59]]-Table3410111213181415[[#This Row],[  55-59]]</f>
        <v>7240</v>
      </c>
      <c r="N47" s="5">
        <f>Table341011121318141516[[#This Row],[  60-64]]-Table3410111213181415[[#This Row],[  60-64]]</f>
        <v>7240</v>
      </c>
      <c r="O47" s="5">
        <f>Table341011121318141516[[#This Row],[  65-69]]-Table3410111213181415[[#This Row],[  65-69]]</f>
        <v>6315</v>
      </c>
      <c r="P47" s="5">
        <f>Table341011121318141516[[#This Row],[  70-74]]-Table3410111213181415[[#This Row],[  70-74]]</f>
        <v>5635</v>
      </c>
      <c r="Q47" s="5">
        <f>Table341011121318141516[[#This Row],[  75-79]]-Table3410111213181415[[#This Row],[  75-79]]</f>
        <v>4000</v>
      </c>
      <c r="R47" s="5">
        <f>Table341011121318141516[[#This Row],[  80-84]]-Table3410111213181415[[#This Row],[  80-84]]</f>
        <v>2720</v>
      </c>
      <c r="S47" s="5">
        <f>Table341011121318141516[[#This Row],[  85-89]]-Table3410111213181415[[#This Row],[  85-89]]</f>
        <v>1635</v>
      </c>
      <c r="T47" s="5">
        <f>Table341011121318141516[[#This Row],[  90+]]-Table3410111213181415[[#This Row],[  90+]]</f>
        <v>965</v>
      </c>
    </row>
    <row r="48" spans="1:20" x14ac:dyDescent="0.2">
      <c r="A48" s="9" t="s">
        <v>16</v>
      </c>
      <c r="B48" s="6" t="s">
        <v>0</v>
      </c>
      <c r="C48" s="5">
        <f>Table341011121318141516[[#This Row],[Total]]-Table3410111213181415[[#This Row],[Total]]</f>
        <v>46905</v>
      </c>
      <c r="D48" s="5">
        <f>Table341011121318141516[[#This Row],[  5-11]]-Table3410111213181415[[#This Row],[  5-11]]</f>
        <v>5682.1321493006908</v>
      </c>
      <c r="E48" s="5">
        <f>Table341011121318141516[[#This Row],[  12-17]]-Table3410111213181415[[#This Row],[  12-17]]</f>
        <v>2902.5685379098359</v>
      </c>
      <c r="F48" s="5">
        <f>Table341011121318141516[[#This Row],[  18-24]]-Table3410111213181415[[#This Row],[  18-24]]</f>
        <v>2555.2993127894733</v>
      </c>
      <c r="G48" s="5">
        <f>Table341011121318141516[[#This Row],[  25-29 ]]-Table3410111213181415[[#This Row],[  25-29 ]]</f>
        <v>2800</v>
      </c>
      <c r="H48" s="5">
        <f>Table341011121318141516[[#This Row],[  30-34]]-Table3410111213181415[[#This Row],[  30-34]]</f>
        <v>3050</v>
      </c>
      <c r="I48" s="5">
        <f>Table341011121318141516[[#This Row],[  35-39]]-Table3410111213181415[[#This Row],[  35-39]]</f>
        <v>3145</v>
      </c>
      <c r="J48" s="5">
        <f>Table341011121318141516[[#This Row],[  40-44]]-Table3410111213181415[[#This Row],[  40-44]]</f>
        <v>3055</v>
      </c>
      <c r="K48" s="5">
        <f>Table341011121318141516[[#This Row],[  45-49 ]]-Table3410111213181415[[#This Row],[  45-49 ]]</f>
        <v>3220</v>
      </c>
      <c r="L48" s="5">
        <f>Table341011121318141516[[#This Row],[  50-54]]-Table3410111213181415[[#This Row],[  50-54]]</f>
        <v>3465</v>
      </c>
      <c r="M48" s="5">
        <f>Table341011121318141516[[#This Row],[  55-59]]-Table3410111213181415[[#This Row],[  55-59]]</f>
        <v>3520</v>
      </c>
      <c r="N48" s="5">
        <f>Table341011121318141516[[#This Row],[  60-64]]-Table3410111213181415[[#This Row],[  60-64]]</f>
        <v>3505</v>
      </c>
      <c r="O48" s="5">
        <f>Table341011121318141516[[#This Row],[  65-69]]-Table3410111213181415[[#This Row],[  65-69]]</f>
        <v>3120</v>
      </c>
      <c r="P48" s="5">
        <f>Table341011121318141516[[#This Row],[  70-74]]-Table3410111213181415[[#This Row],[  70-74]]</f>
        <v>2790</v>
      </c>
      <c r="Q48" s="5">
        <f>Table341011121318141516[[#This Row],[  75-79]]-Table3410111213181415[[#This Row],[  75-79]]</f>
        <v>1910</v>
      </c>
      <c r="R48" s="5">
        <f>Table341011121318141516[[#This Row],[  80-84]]-Table3410111213181415[[#This Row],[  80-84]]</f>
        <v>1200</v>
      </c>
      <c r="S48" s="5">
        <f>Table341011121318141516[[#This Row],[  85-89]]-Table3410111213181415[[#This Row],[  85-89]]</f>
        <v>655</v>
      </c>
      <c r="T48" s="5">
        <f>Table341011121318141516[[#This Row],[  90+]]-Table3410111213181415[[#This Row],[  90+]]</f>
        <v>330</v>
      </c>
    </row>
    <row r="49" spans="1:20" x14ac:dyDescent="0.2">
      <c r="A49" s="9" t="s">
        <v>16</v>
      </c>
      <c r="B49" s="6" t="s">
        <v>23</v>
      </c>
      <c r="C49" s="5">
        <f>Table341011121318141516[[#This Row],[Total]]-Table3410111213181415[[#This Row],[Total]]</f>
        <v>47655</v>
      </c>
      <c r="D49" s="5">
        <f>Table341011121318141516[[#This Row],[  5-11]]-Table3410111213181415[[#This Row],[  5-11]]</f>
        <v>5095.5499431243097</v>
      </c>
      <c r="E49" s="5">
        <f>Table341011121318141516[[#This Row],[  12-17]]-Table3410111213181415[[#This Row],[  12-17]]</f>
        <v>2564.3417428252187</v>
      </c>
      <c r="F49" s="5">
        <f>Table341011121318141516[[#This Row],[  18-24]]-Table3410111213181415[[#This Row],[  18-24]]</f>
        <v>2260.1083140504725</v>
      </c>
      <c r="G49" s="5">
        <f>Table341011121318141516[[#This Row],[  25-29 ]]-Table3410111213181415[[#This Row],[  25-29 ]]</f>
        <v>2660</v>
      </c>
      <c r="H49" s="5">
        <f>Table341011121318141516[[#This Row],[  30-34]]-Table3410111213181415[[#This Row],[  30-34]]</f>
        <v>3110</v>
      </c>
      <c r="I49" s="5">
        <f>Table341011121318141516[[#This Row],[  35-39]]-Table3410111213181415[[#This Row],[  35-39]]</f>
        <v>3205</v>
      </c>
      <c r="J49" s="5">
        <f>Table341011121318141516[[#This Row],[  40-44]]-Table3410111213181415[[#This Row],[  40-44]]</f>
        <v>3080</v>
      </c>
      <c r="K49" s="5">
        <f>Table341011121318141516[[#This Row],[  45-49 ]]-Table3410111213181415[[#This Row],[  45-49 ]]</f>
        <v>3445</v>
      </c>
      <c r="L49" s="5">
        <f>Table341011121318141516[[#This Row],[  50-54]]-Table3410111213181415[[#This Row],[  50-54]]</f>
        <v>3515</v>
      </c>
      <c r="M49" s="5">
        <f>Table341011121318141516[[#This Row],[  55-59]]-Table3410111213181415[[#This Row],[  55-59]]</f>
        <v>3720</v>
      </c>
      <c r="N49" s="5">
        <f>Table341011121318141516[[#This Row],[  60-64]]-Table3410111213181415[[#This Row],[  60-64]]</f>
        <v>3735</v>
      </c>
      <c r="O49" s="5">
        <f>Table341011121318141516[[#This Row],[  65-69]]-Table3410111213181415[[#This Row],[  65-69]]</f>
        <v>3195</v>
      </c>
      <c r="P49" s="5">
        <f>Table341011121318141516[[#This Row],[  70-74]]-Table3410111213181415[[#This Row],[  70-74]]</f>
        <v>2845</v>
      </c>
      <c r="Q49" s="5">
        <f>Table341011121318141516[[#This Row],[  75-79]]-Table3410111213181415[[#This Row],[  75-79]]</f>
        <v>2090</v>
      </c>
      <c r="R49" s="5">
        <f>Table341011121318141516[[#This Row],[  80-84]]-Table3410111213181415[[#This Row],[  80-84]]</f>
        <v>1520</v>
      </c>
      <c r="S49" s="5">
        <f>Table341011121318141516[[#This Row],[  85-89]]-Table3410111213181415[[#This Row],[  85-89]]</f>
        <v>980</v>
      </c>
      <c r="T49" s="5">
        <f>Table341011121318141516[[#This Row],[  90+]]-Table3410111213181415[[#This Row],[  90+]]</f>
        <v>635</v>
      </c>
    </row>
    <row r="50" spans="1:20" x14ac:dyDescent="0.2">
      <c r="A50" s="11" t="s">
        <v>17</v>
      </c>
      <c r="B50" s="6" t="s">
        <v>22</v>
      </c>
      <c r="C50" s="5">
        <f>Table341011121318141516[[#This Row],[Total]]-Table3410111213181415[[#This Row],[Total]]</f>
        <v>317360</v>
      </c>
      <c r="D50" s="5">
        <f>Table341011121318141516[[#This Row],[  5-11]]-Table3410111213181415[[#This Row],[  5-11]]</f>
        <v>39193.028556768026</v>
      </c>
      <c r="E50" s="5">
        <f>Table341011121318141516[[#This Row],[  12-17]]-Table3410111213181415[[#This Row],[  12-17]]</f>
        <v>19417.105017883252</v>
      </c>
      <c r="F50" s="5">
        <f>Table341011121318141516[[#This Row],[  18-24]]-Table3410111213181415[[#This Row],[  18-24]]</f>
        <v>16959.86642534873</v>
      </c>
      <c r="G50" s="5">
        <f>Table341011121318141516[[#This Row],[  25-29 ]]-Table3410111213181415[[#This Row],[  25-29 ]]</f>
        <v>21590</v>
      </c>
      <c r="H50" s="5">
        <f>Table341011121318141516[[#This Row],[  30-34]]-Table3410111213181415[[#This Row],[  30-34]]</f>
        <v>22480</v>
      </c>
      <c r="I50" s="5">
        <f>Table341011121318141516[[#This Row],[  35-39]]-Table3410111213181415[[#This Row],[  35-39]]</f>
        <v>21540</v>
      </c>
      <c r="J50" s="5">
        <f>Table341011121318141516[[#This Row],[  40-44]]-Table3410111213181415[[#This Row],[  40-44]]</f>
        <v>20310</v>
      </c>
      <c r="K50" s="5">
        <f>Table341011121318141516[[#This Row],[  45-49 ]]-Table3410111213181415[[#This Row],[  45-49 ]]</f>
        <v>21400</v>
      </c>
      <c r="L50" s="5">
        <f>Table341011121318141516[[#This Row],[  50-54]]-Table3410111213181415[[#This Row],[  50-54]]</f>
        <v>22790</v>
      </c>
      <c r="M50" s="5">
        <f>Table341011121318141516[[#This Row],[  55-59]]-Table3410111213181415[[#This Row],[  55-59]]</f>
        <v>22300</v>
      </c>
      <c r="N50" s="5">
        <f>Table341011121318141516[[#This Row],[  60-64]]-Table3410111213181415[[#This Row],[  60-64]]</f>
        <v>21910</v>
      </c>
      <c r="O50" s="5">
        <f>Table341011121318141516[[#This Row],[  65-69]]-Table3410111213181415[[#This Row],[  65-69]]</f>
        <v>19900</v>
      </c>
      <c r="P50" s="5">
        <f>Table341011121318141516[[#This Row],[  70-74]]-Table3410111213181415[[#This Row],[  70-74]]</f>
        <v>18250</v>
      </c>
      <c r="Q50" s="5">
        <f>Table341011121318141516[[#This Row],[  75-79]]-Table3410111213181415[[#This Row],[  75-79]]</f>
        <v>12930</v>
      </c>
      <c r="R50" s="5">
        <f>Table341011121318141516[[#This Row],[  80-84]]-Table3410111213181415[[#This Row],[  80-84]]</f>
        <v>8820</v>
      </c>
      <c r="S50" s="5">
        <f>Table341011121318141516[[#This Row],[  85-89]]-Table3410111213181415[[#This Row],[  85-89]]</f>
        <v>4800</v>
      </c>
      <c r="T50" s="5">
        <f>Table341011121318141516[[#This Row],[  90+]]-Table3410111213181415[[#This Row],[  90+]]</f>
        <v>2770</v>
      </c>
    </row>
    <row r="51" spans="1:20" x14ac:dyDescent="0.2">
      <c r="A51" s="11" t="s">
        <v>17</v>
      </c>
      <c r="B51" s="6" t="s">
        <v>0</v>
      </c>
      <c r="C51" s="5">
        <f>Table341011121318141516[[#This Row],[Total]]-Table3410111213181415[[#This Row],[Total]]</f>
        <v>156880</v>
      </c>
      <c r="D51" s="5">
        <f>Table341011121318141516[[#This Row],[  5-11]]-Table3410111213181415[[#This Row],[  5-11]]</f>
        <v>20052.345976684082</v>
      </c>
      <c r="E51" s="5">
        <f>Table341011121318141516[[#This Row],[  12-17]]-Table3410111213181415[[#This Row],[  12-17]]</f>
        <v>9959.1297424262466</v>
      </c>
      <c r="F51" s="5">
        <f>Table341011121318141516[[#This Row],[  18-24]]-Table3410111213181415[[#This Row],[  18-24]]</f>
        <v>8678.5242808896674</v>
      </c>
      <c r="G51" s="5">
        <f>Table341011121318141516[[#This Row],[  25-29 ]]-Table3410111213181415[[#This Row],[  25-29 ]]</f>
        <v>11210</v>
      </c>
      <c r="H51" s="5">
        <f>Table341011121318141516[[#This Row],[  30-34]]-Table3410111213181415[[#This Row],[  30-34]]</f>
        <v>11040</v>
      </c>
      <c r="I51" s="5">
        <f>Table341011121318141516[[#This Row],[  35-39]]-Table3410111213181415[[#This Row],[  35-39]]</f>
        <v>10780</v>
      </c>
      <c r="J51" s="5">
        <f>Table341011121318141516[[#This Row],[  40-44]]-Table3410111213181415[[#This Row],[  40-44]]</f>
        <v>10090</v>
      </c>
      <c r="K51" s="5">
        <f>Table341011121318141516[[#This Row],[  45-49 ]]-Table3410111213181415[[#This Row],[  45-49 ]]</f>
        <v>10570</v>
      </c>
      <c r="L51" s="5">
        <f>Table341011121318141516[[#This Row],[  50-54]]-Table3410111213181415[[#This Row],[  50-54]]</f>
        <v>11150</v>
      </c>
      <c r="M51" s="5">
        <f>Table341011121318141516[[#This Row],[  55-59]]-Table3410111213181415[[#This Row],[  55-59]]</f>
        <v>10940</v>
      </c>
      <c r="N51" s="5">
        <f>Table341011121318141516[[#This Row],[  60-64]]-Table3410111213181415[[#This Row],[  60-64]]</f>
        <v>10530</v>
      </c>
      <c r="O51" s="5">
        <f>Table341011121318141516[[#This Row],[  65-69]]-Table3410111213181415[[#This Row],[  65-69]]</f>
        <v>9720</v>
      </c>
      <c r="P51" s="5">
        <f>Table341011121318141516[[#This Row],[  70-74]]-Table3410111213181415[[#This Row],[  70-74]]</f>
        <v>8950</v>
      </c>
      <c r="Q51" s="5">
        <f>Table341011121318141516[[#This Row],[  75-79]]-Table3410111213181415[[#This Row],[  75-79]]</f>
        <v>6130</v>
      </c>
      <c r="R51" s="5">
        <f>Table341011121318141516[[#This Row],[  80-84]]-Table3410111213181415[[#This Row],[  80-84]]</f>
        <v>4060</v>
      </c>
      <c r="S51" s="5">
        <f>Table341011121318141516[[#This Row],[  85-89]]-Table3410111213181415[[#This Row],[  85-89]]</f>
        <v>2050</v>
      </c>
      <c r="T51" s="5">
        <f>Table341011121318141516[[#This Row],[  90+]]-Table3410111213181415[[#This Row],[  90+]]</f>
        <v>970</v>
      </c>
    </row>
    <row r="52" spans="1:20" x14ac:dyDescent="0.2">
      <c r="A52" s="11" t="s">
        <v>17</v>
      </c>
      <c r="B52" s="6" t="s">
        <v>23</v>
      </c>
      <c r="C52" s="5">
        <f>Table341011121318141516[[#This Row],[Total]]-Table3410111213181415[[#This Row],[Total]]</f>
        <v>160480</v>
      </c>
      <c r="D52" s="5">
        <f>Table341011121318141516[[#This Row],[  5-11]]-Table3410111213181415[[#This Row],[  5-11]]</f>
        <v>19139.07273076057</v>
      </c>
      <c r="E52" s="5">
        <f>Table341011121318141516[[#This Row],[  12-17]]-Table3410111213181415[[#This Row],[  12-17]]</f>
        <v>9459.3331908289219</v>
      </c>
      <c r="F52" s="5">
        <f>Table341011121318141516[[#This Row],[  18-24]]-Table3410111213181415[[#This Row],[  18-24]]</f>
        <v>8281.594078410506</v>
      </c>
      <c r="G52" s="5">
        <f>Table341011121318141516[[#This Row],[  25-29 ]]-Table3410111213181415[[#This Row],[  25-29 ]]</f>
        <v>10380</v>
      </c>
      <c r="H52" s="5">
        <f>Table341011121318141516[[#This Row],[  30-34]]-Table3410111213181415[[#This Row],[  30-34]]</f>
        <v>11440</v>
      </c>
      <c r="I52" s="5">
        <f>Table341011121318141516[[#This Row],[  35-39]]-Table3410111213181415[[#This Row],[  35-39]]</f>
        <v>10760</v>
      </c>
      <c r="J52" s="5">
        <f>Table341011121318141516[[#This Row],[  40-44]]-Table3410111213181415[[#This Row],[  40-44]]</f>
        <v>10220</v>
      </c>
      <c r="K52" s="5">
        <f>Table341011121318141516[[#This Row],[  45-49 ]]-Table3410111213181415[[#This Row],[  45-49 ]]</f>
        <v>10830</v>
      </c>
      <c r="L52" s="5">
        <f>Table341011121318141516[[#This Row],[  50-54]]-Table3410111213181415[[#This Row],[  50-54]]</f>
        <v>11640</v>
      </c>
      <c r="M52" s="5">
        <f>Table341011121318141516[[#This Row],[  55-59]]-Table3410111213181415[[#This Row],[  55-59]]</f>
        <v>11360</v>
      </c>
      <c r="N52" s="5">
        <f>Table341011121318141516[[#This Row],[  60-64]]-Table3410111213181415[[#This Row],[  60-64]]</f>
        <v>11380</v>
      </c>
      <c r="O52" s="5">
        <f>Table341011121318141516[[#This Row],[  65-69]]-Table3410111213181415[[#This Row],[  65-69]]</f>
        <v>10180</v>
      </c>
      <c r="P52" s="5">
        <f>Table341011121318141516[[#This Row],[  70-74]]-Table3410111213181415[[#This Row],[  70-74]]</f>
        <v>9300</v>
      </c>
      <c r="Q52" s="5">
        <f>Table341011121318141516[[#This Row],[  75-79]]-Table3410111213181415[[#This Row],[  75-79]]</f>
        <v>6800</v>
      </c>
      <c r="R52" s="5">
        <f>Table341011121318141516[[#This Row],[  80-84]]-Table3410111213181415[[#This Row],[  80-84]]</f>
        <v>4760</v>
      </c>
      <c r="S52" s="5">
        <f>Table341011121318141516[[#This Row],[  85-89]]-Table3410111213181415[[#This Row],[  85-89]]</f>
        <v>2750</v>
      </c>
      <c r="T52" s="5">
        <f>Table341011121318141516[[#This Row],[  90+]]-Table3410111213181415[[#This Row],[  90+]]</f>
        <v>1800</v>
      </c>
    </row>
    <row r="53" spans="1:20" x14ac:dyDescent="0.2">
      <c r="A53" s="9" t="s">
        <v>18</v>
      </c>
      <c r="B53" s="6" t="s">
        <v>22</v>
      </c>
      <c r="C53" s="5">
        <f>Table341011121318141516[[#This Row],[Total]]-Table3410111213181415[[#This Row],[Total]]</f>
        <v>38670</v>
      </c>
      <c r="D53" s="5">
        <f>Table341011121318141516[[#This Row],[  5-11]]-Table3410111213181415[[#This Row],[  5-11]]</f>
        <v>3856.6879335767617</v>
      </c>
      <c r="E53" s="5">
        <f>Table341011121318141516[[#This Row],[  12-17]]-Table3410111213181415[[#This Row],[  12-17]]</f>
        <v>1966.976353738798</v>
      </c>
      <c r="F53" s="5">
        <f>Table341011121318141516[[#This Row],[  18-24]]-Table3410111213181415[[#This Row],[  18-24]]</f>
        <v>1736.3357126844408</v>
      </c>
      <c r="G53" s="5">
        <f>Table341011121318141516[[#This Row],[  25-29 ]]-Table3410111213181415[[#This Row],[  25-29 ]]</f>
        <v>1890</v>
      </c>
      <c r="H53" s="5">
        <f>Table341011121318141516[[#This Row],[  30-34]]-Table3410111213181415[[#This Row],[  30-34]]</f>
        <v>2065</v>
      </c>
      <c r="I53" s="5">
        <f>Table341011121318141516[[#This Row],[  35-39]]-Table3410111213181415[[#This Row],[  35-39]]</f>
        <v>2135</v>
      </c>
      <c r="J53" s="5">
        <f>Table341011121318141516[[#This Row],[  40-44]]-Table3410111213181415[[#This Row],[  40-44]]</f>
        <v>2320</v>
      </c>
      <c r="K53" s="5">
        <f>Table341011121318141516[[#This Row],[  45-49 ]]-Table3410111213181415[[#This Row],[  45-49 ]]</f>
        <v>2695</v>
      </c>
      <c r="L53" s="5">
        <f>Table341011121318141516[[#This Row],[  50-54]]-Table3410111213181415[[#This Row],[  50-54]]</f>
        <v>2945</v>
      </c>
      <c r="M53" s="5">
        <f>Table341011121318141516[[#This Row],[  55-59]]-Table3410111213181415[[#This Row],[  55-59]]</f>
        <v>3140</v>
      </c>
      <c r="N53" s="5">
        <f>Table341011121318141516[[#This Row],[  60-64]]-Table3410111213181415[[#This Row],[  60-64]]</f>
        <v>3180</v>
      </c>
      <c r="O53" s="5">
        <f>Table341011121318141516[[#This Row],[  65-69]]-Table3410111213181415[[#This Row],[  65-69]]</f>
        <v>3195</v>
      </c>
      <c r="P53" s="5">
        <f>Table341011121318141516[[#This Row],[  70-74]]-Table3410111213181415[[#This Row],[  70-74]]</f>
        <v>2995</v>
      </c>
      <c r="Q53" s="5">
        <f>Table341011121318141516[[#This Row],[  75-79]]-Table3410111213181415[[#This Row],[  75-79]]</f>
        <v>2050</v>
      </c>
      <c r="R53" s="5">
        <f>Table341011121318141516[[#This Row],[  80-84]]-Table3410111213181415[[#This Row],[  80-84]]</f>
        <v>1360</v>
      </c>
      <c r="S53" s="5">
        <f>Table341011121318141516[[#This Row],[  85-89]]-Table3410111213181415[[#This Row],[  85-89]]</f>
        <v>730</v>
      </c>
      <c r="T53" s="5">
        <f>Table341011121318141516[[#This Row],[  90+]]-Table3410111213181415[[#This Row],[  90+]]</f>
        <v>410</v>
      </c>
    </row>
    <row r="54" spans="1:20" x14ac:dyDescent="0.2">
      <c r="A54" s="9" t="s">
        <v>18</v>
      </c>
      <c r="B54" s="6" t="s">
        <v>0</v>
      </c>
      <c r="C54" s="5">
        <f>Table341011121318141516[[#This Row],[Total]]-Table3410111213181415[[#This Row],[Total]]</f>
        <v>18940</v>
      </c>
      <c r="D54" s="5">
        <f>Table341011121318141516[[#This Row],[  5-11]]-Table3410111213181415[[#This Row],[  5-11]]</f>
        <v>2003.2211927323428</v>
      </c>
      <c r="E54" s="5">
        <f>Table341011121318141516[[#This Row],[  12-17]]-Table3410111213181415[[#This Row],[  12-17]]</f>
        <v>1029.0460773625009</v>
      </c>
      <c r="F54" s="5">
        <f>Table341011121318141516[[#This Row],[  18-24]]-Table3410111213181415[[#This Row],[  18-24]]</f>
        <v>907.73272990515648</v>
      </c>
      <c r="G54" s="5">
        <f>Table341011121318141516[[#This Row],[  25-29 ]]-Table3410111213181415[[#This Row],[  25-29 ]]</f>
        <v>940</v>
      </c>
      <c r="H54" s="5">
        <f>Table341011121318141516[[#This Row],[  30-34]]-Table3410111213181415[[#This Row],[  30-34]]</f>
        <v>1050</v>
      </c>
      <c r="I54" s="5">
        <f>Table341011121318141516[[#This Row],[  35-39]]-Table3410111213181415[[#This Row],[  35-39]]</f>
        <v>1055</v>
      </c>
      <c r="J54" s="5">
        <f>Table341011121318141516[[#This Row],[  40-44]]-Table3410111213181415[[#This Row],[  40-44]]</f>
        <v>1095</v>
      </c>
      <c r="K54" s="5">
        <f>Table341011121318141516[[#This Row],[  45-49 ]]-Table3410111213181415[[#This Row],[  45-49 ]]</f>
        <v>1280</v>
      </c>
      <c r="L54" s="5">
        <f>Table341011121318141516[[#This Row],[  50-54]]-Table3410111213181415[[#This Row],[  50-54]]</f>
        <v>1395</v>
      </c>
      <c r="M54" s="5">
        <f>Table341011121318141516[[#This Row],[  55-59]]-Table3410111213181415[[#This Row],[  55-59]]</f>
        <v>1545</v>
      </c>
      <c r="N54" s="5">
        <f>Table341011121318141516[[#This Row],[  60-64]]-Table3410111213181415[[#This Row],[  60-64]]</f>
        <v>1535</v>
      </c>
      <c r="O54" s="5">
        <f>Table341011121318141516[[#This Row],[  65-69]]-Table3410111213181415[[#This Row],[  65-69]]</f>
        <v>1560</v>
      </c>
      <c r="P54" s="5">
        <f>Table341011121318141516[[#This Row],[  70-74]]-Table3410111213181415[[#This Row],[  70-74]]</f>
        <v>1455</v>
      </c>
      <c r="Q54" s="5">
        <f>Table341011121318141516[[#This Row],[  75-79]]-Table3410111213181415[[#This Row],[  75-79]]</f>
        <v>1035</v>
      </c>
      <c r="R54" s="5">
        <f>Table341011121318141516[[#This Row],[  80-84]]-Table3410111213181415[[#This Row],[  80-84]]</f>
        <v>600</v>
      </c>
      <c r="S54" s="5">
        <f>Table341011121318141516[[#This Row],[  85-89]]-Table3410111213181415[[#This Row],[  85-89]]</f>
        <v>325</v>
      </c>
      <c r="T54" s="5">
        <f>Table341011121318141516[[#This Row],[  90+]]-Table3410111213181415[[#This Row],[  90+]]</f>
        <v>130</v>
      </c>
    </row>
    <row r="55" spans="1:20" x14ac:dyDescent="0.2">
      <c r="A55" s="9" t="s">
        <v>18</v>
      </c>
      <c r="B55" s="6" t="s">
        <v>23</v>
      </c>
      <c r="C55" s="5">
        <f>Table341011121318141516[[#This Row],[Total]]-Table3410111213181415[[#This Row],[Total]]</f>
        <v>19730</v>
      </c>
      <c r="D55" s="5">
        <f>Table341011121318141516[[#This Row],[  5-11]]-Table3410111213181415[[#This Row],[  5-11]]</f>
        <v>1853.3193260211419</v>
      </c>
      <c r="E55" s="5">
        <f>Table341011121318141516[[#This Row],[  12-17]]-Table3410111213181415[[#This Row],[  12-17]]</f>
        <v>938.11564165282414</v>
      </c>
      <c r="F55" s="5">
        <f>Table341011121318141516[[#This Row],[  18-24]]-Table3410111213181415[[#This Row],[  18-24]]</f>
        <v>828.56503232603393</v>
      </c>
      <c r="G55" s="5">
        <f>Table341011121318141516[[#This Row],[  25-29 ]]-Table3410111213181415[[#This Row],[  25-29 ]]</f>
        <v>950</v>
      </c>
      <c r="H55" s="5">
        <f>Table341011121318141516[[#This Row],[  30-34]]-Table3410111213181415[[#This Row],[  30-34]]</f>
        <v>1015</v>
      </c>
      <c r="I55" s="5">
        <f>Table341011121318141516[[#This Row],[  35-39]]-Table3410111213181415[[#This Row],[  35-39]]</f>
        <v>1080</v>
      </c>
      <c r="J55" s="5">
        <f>Table341011121318141516[[#This Row],[  40-44]]-Table3410111213181415[[#This Row],[  40-44]]</f>
        <v>1225</v>
      </c>
      <c r="K55" s="5">
        <f>Table341011121318141516[[#This Row],[  45-49 ]]-Table3410111213181415[[#This Row],[  45-49 ]]</f>
        <v>1415</v>
      </c>
      <c r="L55" s="5">
        <f>Table341011121318141516[[#This Row],[  50-54]]-Table3410111213181415[[#This Row],[  50-54]]</f>
        <v>1550</v>
      </c>
      <c r="M55" s="5">
        <f>Table341011121318141516[[#This Row],[  55-59]]-Table3410111213181415[[#This Row],[  55-59]]</f>
        <v>1595</v>
      </c>
      <c r="N55" s="5">
        <f>Table341011121318141516[[#This Row],[  60-64]]-Table3410111213181415[[#This Row],[  60-64]]</f>
        <v>1645</v>
      </c>
      <c r="O55" s="5">
        <f>Table341011121318141516[[#This Row],[  65-69]]-Table3410111213181415[[#This Row],[  65-69]]</f>
        <v>1635</v>
      </c>
      <c r="P55" s="5">
        <f>Table341011121318141516[[#This Row],[  70-74]]-Table3410111213181415[[#This Row],[  70-74]]</f>
        <v>1540</v>
      </c>
      <c r="Q55" s="5">
        <f>Table341011121318141516[[#This Row],[  75-79]]-Table3410111213181415[[#This Row],[  75-79]]</f>
        <v>1015</v>
      </c>
      <c r="R55" s="5">
        <f>Table341011121318141516[[#This Row],[  80-84]]-Table3410111213181415[[#This Row],[  80-84]]</f>
        <v>760</v>
      </c>
      <c r="S55" s="5">
        <f>Table341011121318141516[[#This Row],[  85-89]]-Table3410111213181415[[#This Row],[  85-89]]</f>
        <v>405</v>
      </c>
      <c r="T55" s="5">
        <f>Table341011121318141516[[#This Row],[  90+]]-Table3410111213181415[[#This Row],[  90+]]</f>
        <v>280</v>
      </c>
    </row>
    <row r="56" spans="1:20" x14ac:dyDescent="0.2">
      <c r="A56" s="9" t="s">
        <v>19</v>
      </c>
      <c r="B56" s="6" t="s">
        <v>22</v>
      </c>
      <c r="C56" s="5">
        <f>Table341011121318141516[[#This Row],[Total]]-Table3410111213181415[[#This Row],[Total]]</f>
        <v>541390</v>
      </c>
      <c r="D56" s="5">
        <f>Table341011121318141516[[#This Row],[  5-11]]-Table3410111213181415[[#This Row],[  5-11]]</f>
        <v>65661.761037081887</v>
      </c>
      <c r="E56" s="5">
        <f>Table341011121318141516[[#This Row],[  12-17]]-Table3410111213181415[[#This Row],[  12-17]]</f>
        <v>36917.635373215424</v>
      </c>
      <c r="F56" s="5">
        <f>Table341011121318141516[[#This Row],[  18-24]]-Table3410111213181415[[#This Row],[  18-24]]</f>
        <v>33670.603589702696</v>
      </c>
      <c r="G56" s="5">
        <f>Table341011121318141516[[#This Row],[  25-29 ]]-Table3410111213181415[[#This Row],[  25-29 ]]</f>
        <v>40410</v>
      </c>
      <c r="H56" s="5">
        <f>Table341011121318141516[[#This Row],[  30-34]]-Table3410111213181415[[#This Row],[  30-34]]</f>
        <v>45400</v>
      </c>
      <c r="I56" s="5">
        <f>Table341011121318141516[[#This Row],[  35-39]]-Table3410111213181415[[#This Row],[  35-39]]</f>
        <v>45760</v>
      </c>
      <c r="J56" s="5">
        <f>Table341011121318141516[[#This Row],[  40-44]]-Table3410111213181415[[#This Row],[  40-44]]</f>
        <v>39490</v>
      </c>
      <c r="K56" s="5">
        <f>Table341011121318141516[[#This Row],[  45-49 ]]-Table3410111213181415[[#This Row],[  45-49 ]]</f>
        <v>38640</v>
      </c>
      <c r="L56" s="5">
        <f>Table341011121318141516[[#This Row],[  50-54]]-Table3410111213181415[[#This Row],[  50-54]]</f>
        <v>38740</v>
      </c>
      <c r="M56" s="5">
        <f>Table341011121318141516[[#This Row],[  55-59]]-Table3410111213181415[[#This Row],[  55-59]]</f>
        <v>36810</v>
      </c>
      <c r="N56" s="5">
        <f>Table341011121318141516[[#This Row],[  60-64]]-Table3410111213181415[[#This Row],[  60-64]]</f>
        <v>32210</v>
      </c>
      <c r="O56" s="5">
        <f>Table341011121318141516[[#This Row],[  65-69]]-Table3410111213181415[[#This Row],[  65-69]]</f>
        <v>26450</v>
      </c>
      <c r="P56" s="5">
        <f>Table341011121318141516[[#This Row],[  70-74]]-Table3410111213181415[[#This Row],[  70-74]]</f>
        <v>22750</v>
      </c>
      <c r="Q56" s="5">
        <f>Table341011121318141516[[#This Row],[  75-79]]-Table3410111213181415[[#This Row],[  75-79]]</f>
        <v>16600</v>
      </c>
      <c r="R56" s="5">
        <f>Table341011121318141516[[#This Row],[  80-84]]-Table3410111213181415[[#This Row],[  80-84]]</f>
        <v>11290</v>
      </c>
      <c r="S56" s="5">
        <f>Table341011121318141516[[#This Row],[  85-89]]-Table3410111213181415[[#This Row],[  85-89]]</f>
        <v>6360</v>
      </c>
      <c r="T56" s="5">
        <f>Table341011121318141516[[#This Row],[  90+]]-Table3410111213181415[[#This Row],[  90+]]</f>
        <v>4230</v>
      </c>
    </row>
    <row r="57" spans="1:20" x14ac:dyDescent="0.2">
      <c r="A57" s="10" t="s">
        <v>19</v>
      </c>
      <c r="B57" s="6" t="s">
        <v>0</v>
      </c>
      <c r="C57" s="5">
        <f>Table341011121318141516[[#This Row],[Total]]-Table3410111213181415[[#This Row],[Total]]</f>
        <v>266330</v>
      </c>
      <c r="D57" s="5">
        <f>Table341011121318141516[[#This Row],[  5-11]]-Table3410111213181415[[#This Row],[  5-11]]</f>
        <v>33959.684437927703</v>
      </c>
      <c r="E57" s="5">
        <f>Table341011121318141516[[#This Row],[  12-17]]-Table3410111213181415[[#This Row],[  12-17]]</f>
        <v>19152.854999471132</v>
      </c>
      <c r="F57" s="5">
        <f>Table341011121318141516[[#This Row],[  18-24]]-Table3410111213181415[[#This Row],[  18-24]]</f>
        <v>17427.460562601169</v>
      </c>
      <c r="G57" s="5">
        <f>Table341011121318141516[[#This Row],[  25-29 ]]-Table3410111213181415[[#This Row],[  25-29 ]]</f>
        <v>20650</v>
      </c>
      <c r="H57" s="5">
        <f>Table341011121318141516[[#This Row],[  30-34]]-Table3410111213181415[[#This Row],[  30-34]]</f>
        <v>22030</v>
      </c>
      <c r="I57" s="5">
        <f>Table341011121318141516[[#This Row],[  35-39]]-Table3410111213181415[[#This Row],[  35-39]]</f>
        <v>22220</v>
      </c>
      <c r="J57" s="5">
        <f>Table341011121318141516[[#This Row],[  40-44]]-Table3410111213181415[[#This Row],[  40-44]]</f>
        <v>19420</v>
      </c>
      <c r="K57" s="5">
        <f>Table341011121318141516[[#This Row],[  45-49 ]]-Table3410111213181415[[#This Row],[  45-49 ]]</f>
        <v>18960</v>
      </c>
      <c r="L57" s="5">
        <f>Table341011121318141516[[#This Row],[  50-54]]-Table3410111213181415[[#This Row],[  50-54]]</f>
        <v>18780</v>
      </c>
      <c r="M57" s="5">
        <f>Table341011121318141516[[#This Row],[  55-59]]-Table3410111213181415[[#This Row],[  55-59]]</f>
        <v>17780</v>
      </c>
      <c r="N57" s="5">
        <f>Table341011121318141516[[#This Row],[  60-64]]-Table3410111213181415[[#This Row],[  60-64]]</f>
        <v>15360</v>
      </c>
      <c r="O57" s="5">
        <f>Table341011121318141516[[#This Row],[  65-69]]-Table3410111213181415[[#This Row],[  65-69]]</f>
        <v>12730</v>
      </c>
      <c r="P57" s="5">
        <f>Table341011121318141516[[#This Row],[  70-74]]-Table3410111213181415[[#This Row],[  70-74]]</f>
        <v>10910</v>
      </c>
      <c r="Q57" s="5">
        <f>Table341011121318141516[[#This Row],[  75-79]]-Table3410111213181415[[#This Row],[  75-79]]</f>
        <v>7780</v>
      </c>
      <c r="R57" s="5">
        <f>Table341011121318141516[[#This Row],[  80-84]]-Table3410111213181415[[#This Row],[  80-84]]</f>
        <v>5060</v>
      </c>
      <c r="S57" s="5">
        <f>Table341011121318141516[[#This Row],[  85-89]]-Table3410111213181415[[#This Row],[  85-89]]</f>
        <v>2700</v>
      </c>
      <c r="T57" s="5">
        <f>Table341011121318141516[[#This Row],[  90+]]-Table3410111213181415[[#This Row],[  90+]]</f>
        <v>1410</v>
      </c>
    </row>
    <row r="58" spans="1:20" x14ac:dyDescent="0.2">
      <c r="A58" s="10" t="s">
        <v>19</v>
      </c>
      <c r="B58" s="6" t="s">
        <v>23</v>
      </c>
      <c r="C58" s="5">
        <f>Table341011121318141516[[#This Row],[Total]]-Table3410111213181415[[#This Row],[Total]]</f>
        <v>275060</v>
      </c>
      <c r="D58" s="5">
        <f>Table341011121318141516[[#This Row],[  5-11]]-Table3410111213181415[[#This Row],[  5-11]]</f>
        <v>31700.129529739737</v>
      </c>
      <c r="E58" s="5">
        <f>Table341011121318141516[[#This Row],[  12-17]]-Table3410111213181415[[#This Row],[  12-17]]</f>
        <v>17767.035878028739</v>
      </c>
      <c r="F58" s="5">
        <f>Table341011121318141516[[#This Row],[  18-24]]-Table3410111213181415[[#This Row],[  18-24]]</f>
        <v>16242.834592231524</v>
      </c>
      <c r="G58" s="5">
        <f>Table341011121318141516[[#This Row],[  25-29 ]]-Table3410111213181415[[#This Row],[  25-29 ]]</f>
        <v>19760</v>
      </c>
      <c r="H58" s="5">
        <f>Table341011121318141516[[#This Row],[  30-34]]-Table3410111213181415[[#This Row],[  30-34]]</f>
        <v>23370</v>
      </c>
      <c r="I58" s="5">
        <f>Table341011121318141516[[#This Row],[  35-39]]-Table3410111213181415[[#This Row],[  35-39]]</f>
        <v>23540</v>
      </c>
      <c r="J58" s="5">
        <f>Table341011121318141516[[#This Row],[  40-44]]-Table3410111213181415[[#This Row],[  40-44]]</f>
        <v>20070</v>
      </c>
      <c r="K58" s="5">
        <f>Table341011121318141516[[#This Row],[  45-49 ]]-Table3410111213181415[[#This Row],[  45-49 ]]</f>
        <v>19680</v>
      </c>
      <c r="L58" s="5">
        <f>Table341011121318141516[[#This Row],[  50-54]]-Table3410111213181415[[#This Row],[  50-54]]</f>
        <v>19960</v>
      </c>
      <c r="M58" s="5">
        <f>Table341011121318141516[[#This Row],[  55-59]]-Table3410111213181415[[#This Row],[  55-59]]</f>
        <v>19030</v>
      </c>
      <c r="N58" s="5">
        <f>Table341011121318141516[[#This Row],[  60-64]]-Table3410111213181415[[#This Row],[  60-64]]</f>
        <v>16850</v>
      </c>
      <c r="O58" s="5">
        <f>Table341011121318141516[[#This Row],[  65-69]]-Table3410111213181415[[#This Row],[  65-69]]</f>
        <v>13720</v>
      </c>
      <c r="P58" s="5">
        <f>Table341011121318141516[[#This Row],[  70-74]]-Table3410111213181415[[#This Row],[  70-74]]</f>
        <v>11840</v>
      </c>
      <c r="Q58" s="5">
        <f>Table341011121318141516[[#This Row],[  75-79]]-Table3410111213181415[[#This Row],[  75-79]]</f>
        <v>8820</v>
      </c>
      <c r="R58" s="5">
        <f>Table341011121318141516[[#This Row],[  80-84]]-Table3410111213181415[[#This Row],[  80-84]]</f>
        <v>6230</v>
      </c>
      <c r="S58" s="5">
        <f>Table341011121318141516[[#This Row],[  85-89]]-Table3410111213181415[[#This Row],[  85-89]]</f>
        <v>3660</v>
      </c>
      <c r="T58" s="5">
        <f>Table341011121318141516[[#This Row],[  90+]]-Table3410111213181415[[#This Row],[  90+]]</f>
        <v>2820</v>
      </c>
    </row>
    <row r="59" spans="1:20" x14ac:dyDescent="0.2">
      <c r="A59" s="9" t="s">
        <v>20</v>
      </c>
      <c r="B59" s="6" t="s">
        <v>22</v>
      </c>
      <c r="C59" s="5">
        <f>Table341011121318141516[[#This Row],[Total]]-Table3410111213181415[[#This Row],[Total]]</f>
        <v>27200</v>
      </c>
      <c r="D59" s="5">
        <f>Table341011121318141516[[#This Row],[  5-11]]-Table3410111213181415[[#This Row],[  5-11]]</f>
        <v>2676.1821874667148</v>
      </c>
      <c r="E59" s="5">
        <f>Table341011121318141516[[#This Row],[  12-17]]-Table3410111213181415[[#This Row],[  12-17]]</f>
        <v>1471.377011689648</v>
      </c>
      <c r="F59" s="5">
        <f>Table341011121318141516[[#This Row],[  18-24]]-Table3410111213181415[[#This Row],[  18-24]]</f>
        <v>1332.4408008436371</v>
      </c>
      <c r="G59" s="5">
        <f>Table341011121318141516[[#This Row],[  25-29 ]]-Table3410111213181415[[#This Row],[  25-29 ]]</f>
        <v>1470</v>
      </c>
      <c r="H59" s="5">
        <f>Table341011121318141516[[#This Row],[  30-34]]-Table3410111213181415[[#This Row],[  30-34]]</f>
        <v>1740</v>
      </c>
      <c r="I59" s="5">
        <f>Table341011121318141516[[#This Row],[  35-39]]-Table3410111213181415[[#This Row],[  35-39]]</f>
        <v>1530</v>
      </c>
      <c r="J59" s="5">
        <f>Table341011121318141516[[#This Row],[  40-44]]-Table3410111213181415[[#This Row],[  40-44]]</f>
        <v>1490</v>
      </c>
      <c r="K59" s="5">
        <f>Table341011121318141516[[#This Row],[  45-49 ]]-Table3410111213181415[[#This Row],[  45-49 ]]</f>
        <v>1770</v>
      </c>
      <c r="L59" s="5">
        <f>Table341011121318141516[[#This Row],[  50-54]]-Table3410111213181415[[#This Row],[  50-54]]</f>
        <v>2120</v>
      </c>
      <c r="M59" s="5">
        <f>Table341011121318141516[[#This Row],[  55-59]]-Table3410111213181415[[#This Row],[  55-59]]</f>
        <v>2420</v>
      </c>
      <c r="N59" s="5">
        <f>Table341011121318141516[[#This Row],[  60-64]]-Table3410111213181415[[#This Row],[  60-64]]</f>
        <v>2510</v>
      </c>
      <c r="O59" s="5">
        <f>Table341011121318141516[[#This Row],[  65-69]]-Table3410111213181415[[#This Row],[  65-69]]</f>
        <v>2185</v>
      </c>
      <c r="P59" s="5">
        <f>Table341011121318141516[[#This Row],[  70-74]]-Table3410111213181415[[#This Row],[  70-74]]</f>
        <v>1860</v>
      </c>
      <c r="Q59" s="5">
        <f>Table341011121318141516[[#This Row],[  75-79]]-Table3410111213181415[[#This Row],[  75-79]]</f>
        <v>1245</v>
      </c>
      <c r="R59" s="5">
        <f>Table341011121318141516[[#This Row],[  80-84]]-Table3410111213181415[[#This Row],[  80-84]]</f>
        <v>805</v>
      </c>
      <c r="S59" s="5">
        <f>Table341011121318141516[[#This Row],[  85-89]]-Table3410111213181415[[#This Row],[  85-89]]</f>
        <v>365</v>
      </c>
      <c r="T59" s="5">
        <f>Table341011121318141516[[#This Row],[  90+]]-Table3410111213181415[[#This Row],[  90+]]</f>
        <v>210</v>
      </c>
    </row>
    <row r="60" spans="1:20" x14ac:dyDescent="0.2">
      <c r="A60" s="9" t="s">
        <v>20</v>
      </c>
      <c r="B60" s="6" t="s">
        <v>0</v>
      </c>
      <c r="C60" s="5">
        <f>Table341011121318141516[[#This Row],[Total]]-Table3410111213181415[[#This Row],[Total]]</f>
        <v>13900</v>
      </c>
      <c r="D60" s="5">
        <f>Table341011121318141516[[#This Row],[  5-11]]-Table3410111213181415[[#This Row],[  5-11]]</f>
        <v>1411.9618989026656</v>
      </c>
      <c r="E60" s="5">
        <f>Table341011121318141516[[#This Row],[  12-17]]-Table3410111213181415[[#This Row],[  12-17]]</f>
        <v>776.78302385510756</v>
      </c>
      <c r="F60" s="5">
        <f>Table341011121318141516[[#This Row],[  18-24]]-Table3410111213181415[[#This Row],[  18-24]]</f>
        <v>701.25507724222689</v>
      </c>
      <c r="G60" s="5">
        <f>Table341011121318141516[[#This Row],[  25-29 ]]-Table3410111213181415[[#This Row],[  25-29 ]]</f>
        <v>690</v>
      </c>
      <c r="H60" s="5">
        <f>Table341011121318141516[[#This Row],[  30-34]]-Table3410111213181415[[#This Row],[  30-34]]</f>
        <v>840</v>
      </c>
      <c r="I60" s="5">
        <f>Table341011121318141516[[#This Row],[  35-39]]-Table3410111213181415[[#This Row],[  35-39]]</f>
        <v>795</v>
      </c>
      <c r="J60" s="5">
        <f>Table341011121318141516[[#This Row],[  40-44]]-Table3410111213181415[[#This Row],[  40-44]]</f>
        <v>725</v>
      </c>
      <c r="K60" s="5">
        <f>Table341011121318141516[[#This Row],[  45-49 ]]-Table3410111213181415[[#This Row],[  45-49 ]]</f>
        <v>880</v>
      </c>
      <c r="L60" s="5">
        <f>Table341011121318141516[[#This Row],[  50-54]]-Table3410111213181415[[#This Row],[  50-54]]</f>
        <v>1075</v>
      </c>
      <c r="M60" s="5">
        <f>Table341011121318141516[[#This Row],[  55-59]]-Table3410111213181415[[#This Row],[  55-59]]</f>
        <v>1230</v>
      </c>
      <c r="N60" s="5">
        <f>Table341011121318141516[[#This Row],[  60-64]]-Table3410111213181415[[#This Row],[  60-64]]</f>
        <v>1335</v>
      </c>
      <c r="O60" s="5">
        <f>Table341011121318141516[[#This Row],[  65-69]]-Table3410111213181415[[#This Row],[  65-69]]</f>
        <v>1170</v>
      </c>
      <c r="P60" s="5">
        <f>Table341011121318141516[[#This Row],[  70-74]]-Table3410111213181415[[#This Row],[  70-74]]</f>
        <v>1010</v>
      </c>
      <c r="Q60" s="5">
        <f>Table341011121318141516[[#This Row],[  75-79]]-Table3410111213181415[[#This Row],[  75-79]]</f>
        <v>620</v>
      </c>
      <c r="R60" s="5">
        <f>Table341011121318141516[[#This Row],[  80-84]]-Table3410111213181415[[#This Row],[  80-84]]</f>
        <v>390</v>
      </c>
      <c r="S60" s="5">
        <f>Table341011121318141516[[#This Row],[  85-89]]-Table3410111213181415[[#This Row],[  85-89]]</f>
        <v>180</v>
      </c>
      <c r="T60" s="5">
        <f>Table341011121318141516[[#This Row],[  90+]]-Table3410111213181415[[#This Row],[  90+]]</f>
        <v>70</v>
      </c>
    </row>
    <row r="61" spans="1:20" x14ac:dyDescent="0.2">
      <c r="A61" s="9" t="s">
        <v>20</v>
      </c>
      <c r="B61" s="6" t="s">
        <v>23</v>
      </c>
      <c r="C61" s="5">
        <f>Table341011121318141516[[#This Row],[Total]]-Table3410111213181415[[#This Row],[Total]]</f>
        <v>13300</v>
      </c>
      <c r="D61" s="5">
        <f>Table341011121318141516[[#This Row],[  5-11]]-Table3410111213181415[[#This Row],[  5-11]]</f>
        <v>1264.0393777497745</v>
      </c>
      <c r="E61" s="5">
        <f>Table341011121318141516[[#This Row],[  12-17]]-Table3410111213181415[[#This Row],[  12-17]]</f>
        <v>694.76034051541069</v>
      </c>
      <c r="F61" s="5">
        <f>Table341011121318141516[[#This Row],[  18-24]]-Table3410111213181415[[#This Row],[  18-24]]</f>
        <v>631.20028173481478</v>
      </c>
      <c r="G61" s="5">
        <f>Table341011121318141516[[#This Row],[  25-29 ]]-Table3410111213181415[[#This Row],[  25-29 ]]</f>
        <v>780</v>
      </c>
      <c r="H61" s="5">
        <f>Table341011121318141516[[#This Row],[  30-34]]-Table3410111213181415[[#This Row],[  30-34]]</f>
        <v>900</v>
      </c>
      <c r="I61" s="5">
        <f>Table341011121318141516[[#This Row],[  35-39]]-Table3410111213181415[[#This Row],[  35-39]]</f>
        <v>735</v>
      </c>
      <c r="J61" s="5">
        <f>Table341011121318141516[[#This Row],[  40-44]]-Table3410111213181415[[#This Row],[  40-44]]</f>
        <v>765</v>
      </c>
      <c r="K61" s="5">
        <f>Table341011121318141516[[#This Row],[  45-49 ]]-Table3410111213181415[[#This Row],[  45-49 ]]</f>
        <v>890</v>
      </c>
      <c r="L61" s="5">
        <f>Table341011121318141516[[#This Row],[  50-54]]-Table3410111213181415[[#This Row],[  50-54]]</f>
        <v>1045</v>
      </c>
      <c r="M61" s="5">
        <f>Table341011121318141516[[#This Row],[  55-59]]-Table3410111213181415[[#This Row],[  55-59]]</f>
        <v>1190</v>
      </c>
      <c r="N61" s="5">
        <f>Table341011121318141516[[#This Row],[  60-64]]-Table3410111213181415[[#This Row],[  60-64]]</f>
        <v>1175</v>
      </c>
      <c r="O61" s="5">
        <f>Table341011121318141516[[#This Row],[  65-69]]-Table3410111213181415[[#This Row],[  65-69]]</f>
        <v>1015</v>
      </c>
      <c r="P61" s="5">
        <f>Table341011121318141516[[#This Row],[  70-74]]-Table3410111213181415[[#This Row],[  70-74]]</f>
        <v>850</v>
      </c>
      <c r="Q61" s="5">
        <f>Table341011121318141516[[#This Row],[  75-79]]-Table3410111213181415[[#This Row],[  75-79]]</f>
        <v>625</v>
      </c>
      <c r="R61" s="5">
        <f>Table341011121318141516[[#This Row],[  80-84]]-Table3410111213181415[[#This Row],[  80-84]]</f>
        <v>415</v>
      </c>
      <c r="S61" s="5">
        <f>Table341011121318141516[[#This Row],[  85-89]]-Table3410111213181415[[#This Row],[  85-89]]</f>
        <v>185</v>
      </c>
      <c r="T61" s="5">
        <f>Table341011121318141516[[#This Row],[  90+]]-Table3410111213181415[[#This Row],[  90+]]</f>
        <v>140</v>
      </c>
    </row>
    <row r="62" spans="1:20" x14ac:dyDescent="0.2">
      <c r="A62" s="13" t="s">
        <v>21</v>
      </c>
      <c r="B62" s="6" t="s">
        <v>22</v>
      </c>
      <c r="C62" s="5">
        <f>Table341011121318141516[[#This Row],[Total]]-Table3410111213181415[[#This Row],[Total]]</f>
        <v>46970</v>
      </c>
      <c r="D62" s="5">
        <f>Table341011121318141516[[#This Row],[  5-11]]-Table3410111213181415[[#This Row],[  5-11]]</f>
        <v>5204.7744128729655</v>
      </c>
      <c r="E62" s="5">
        <f>Table341011121318141516[[#This Row],[  12-17]]-Table3410111213181415[[#This Row],[  12-17]]</f>
        <v>2444.0986673366028</v>
      </c>
      <c r="F62" s="5">
        <f>Table341011121318141516[[#This Row],[  18-24]]-Table3410111213181415[[#This Row],[  18-24]]</f>
        <v>2091.1269197904317</v>
      </c>
      <c r="G62" s="5">
        <f>Table341011121318141516[[#This Row],[  25-29 ]]-Table3410111213181415[[#This Row],[  25-29 ]]</f>
        <v>2390</v>
      </c>
      <c r="H62" s="5">
        <f>Table341011121318141516[[#This Row],[  30-34]]-Table3410111213181415[[#This Row],[  30-34]]</f>
        <v>2880</v>
      </c>
      <c r="I62" s="5">
        <f>Table341011121318141516[[#This Row],[  35-39]]-Table3410111213181415[[#This Row],[  35-39]]</f>
        <v>2630</v>
      </c>
      <c r="J62" s="5">
        <f>Table341011121318141516[[#This Row],[  40-44]]-Table3410111213181415[[#This Row],[  40-44]]</f>
        <v>2450</v>
      </c>
      <c r="K62" s="5">
        <f>Table341011121318141516[[#This Row],[  45-49 ]]-Table3410111213181415[[#This Row],[  45-49 ]]</f>
        <v>3070</v>
      </c>
      <c r="L62" s="5">
        <f>Table341011121318141516[[#This Row],[  50-54]]-Table3410111213181415[[#This Row],[  50-54]]</f>
        <v>3380</v>
      </c>
      <c r="M62" s="5">
        <f>Table341011121318141516[[#This Row],[  55-59]]-Table3410111213181415[[#This Row],[  55-59]]</f>
        <v>3800</v>
      </c>
      <c r="N62" s="5">
        <f>Table341011121318141516[[#This Row],[  60-64]]-Table3410111213181415[[#This Row],[  60-64]]</f>
        <v>3970</v>
      </c>
      <c r="O62" s="5">
        <f>Table341011121318141516[[#This Row],[  65-69]]-Table3410111213181415[[#This Row],[  65-69]]</f>
        <v>3710</v>
      </c>
      <c r="P62" s="5">
        <f>Table341011121318141516[[#This Row],[  70-74]]-Table3410111213181415[[#This Row],[  70-74]]</f>
        <v>3380</v>
      </c>
      <c r="Q62" s="5">
        <f>Table341011121318141516[[#This Row],[  75-79]]-Table3410111213181415[[#This Row],[  75-79]]</f>
        <v>2420</v>
      </c>
      <c r="R62" s="5">
        <f>Table341011121318141516[[#This Row],[  80-84]]-Table3410111213181415[[#This Row],[  80-84]]</f>
        <v>1710</v>
      </c>
      <c r="S62" s="5">
        <f>Table341011121318141516[[#This Row],[  85-89]]-Table3410111213181415[[#This Row],[  85-89]]</f>
        <v>900</v>
      </c>
      <c r="T62" s="5">
        <f>Table341011121318141516[[#This Row],[  90+]]-Table3410111213181415[[#This Row],[  90+]]</f>
        <v>540</v>
      </c>
    </row>
    <row r="63" spans="1:20" x14ac:dyDescent="0.2">
      <c r="A63" s="10" t="s">
        <v>21</v>
      </c>
      <c r="B63" s="6" t="s">
        <v>0</v>
      </c>
      <c r="C63" s="5">
        <f>Table341011121318141516[[#This Row],[Total]]-Table3410111213181415[[#This Row],[Total]]</f>
        <v>23210</v>
      </c>
      <c r="D63" s="5">
        <f>Table341011121318141516[[#This Row],[  5-11]]-Table3410111213181415[[#This Row],[  5-11]]</f>
        <v>2666.4257141411663</v>
      </c>
      <c r="E63" s="5">
        <f>Table341011121318141516[[#This Row],[  12-17]]-Table3410111213181415[[#This Row],[  12-17]]</f>
        <v>1258.3264219992332</v>
      </c>
      <c r="F63" s="5">
        <f>Table341011121318141516[[#This Row],[  18-24]]-Table3410111213181415[[#This Row],[  18-24]]</f>
        <v>1075.2478638596008</v>
      </c>
      <c r="G63" s="5">
        <f>Table341011121318141516[[#This Row],[  25-29 ]]-Table3410111213181415[[#This Row],[  25-29 ]]</f>
        <v>1260</v>
      </c>
      <c r="H63" s="5">
        <f>Table341011121318141516[[#This Row],[  30-34]]-Table3410111213181415[[#This Row],[  30-34]]</f>
        <v>1460</v>
      </c>
      <c r="I63" s="5">
        <f>Table341011121318141516[[#This Row],[  35-39]]-Table3410111213181415[[#This Row],[  35-39]]</f>
        <v>1370</v>
      </c>
      <c r="J63" s="5">
        <f>Table341011121318141516[[#This Row],[  40-44]]-Table3410111213181415[[#This Row],[  40-44]]</f>
        <v>1230</v>
      </c>
      <c r="K63" s="5">
        <f>Table341011121318141516[[#This Row],[  45-49 ]]-Table3410111213181415[[#This Row],[  45-49 ]]</f>
        <v>1520</v>
      </c>
      <c r="L63" s="5">
        <f>Table341011121318141516[[#This Row],[  50-54]]-Table3410111213181415[[#This Row],[  50-54]]</f>
        <v>1630</v>
      </c>
      <c r="M63" s="5">
        <f>Table341011121318141516[[#This Row],[  55-59]]-Table3410111213181415[[#This Row],[  55-59]]</f>
        <v>1820</v>
      </c>
      <c r="N63" s="5">
        <f>Table341011121318141516[[#This Row],[  60-64]]-Table3410111213181415[[#This Row],[  60-64]]</f>
        <v>1930</v>
      </c>
      <c r="O63" s="5">
        <f>Table341011121318141516[[#This Row],[  65-69]]-Table3410111213181415[[#This Row],[  65-69]]</f>
        <v>1850</v>
      </c>
      <c r="P63" s="5">
        <f>Table341011121318141516[[#This Row],[  70-74]]-Table3410111213181415[[#This Row],[  70-74]]</f>
        <v>1670</v>
      </c>
      <c r="Q63" s="5">
        <f>Table341011121318141516[[#This Row],[  75-79]]-Table3410111213181415[[#This Row],[  75-79]]</f>
        <v>1150</v>
      </c>
      <c r="R63" s="5">
        <f>Table341011121318141516[[#This Row],[  80-84]]-Table3410111213181415[[#This Row],[  80-84]]</f>
        <v>750</v>
      </c>
      <c r="S63" s="5">
        <f>Table341011121318141516[[#This Row],[  85-89]]-Table3410111213181415[[#This Row],[  85-89]]</f>
        <v>360</v>
      </c>
      <c r="T63" s="5">
        <f>Table341011121318141516[[#This Row],[  90+]]-Table3410111213181415[[#This Row],[  90+]]</f>
        <v>210</v>
      </c>
    </row>
    <row r="64" spans="1:20" x14ac:dyDescent="0.2">
      <c r="A64" s="10" t="s">
        <v>21</v>
      </c>
      <c r="B64" s="6" t="s">
        <v>23</v>
      </c>
      <c r="C64" s="5">
        <f>Table341011121318141516[[#This Row],[Total]]-Table3410111213181415[[#This Row],[Total]]</f>
        <v>23760</v>
      </c>
      <c r="D64" s="5">
        <f>Table341011121318141516[[#This Row],[  5-11]]-Table3410111213181415[[#This Row],[  5-11]]</f>
        <v>2538.1338055360829</v>
      </c>
      <c r="E64" s="5">
        <f>Table341011121318141516[[#This Row],[  12-17]]-Table3410111213181415[[#This Row],[  12-17]]</f>
        <v>1185.9808578332445</v>
      </c>
      <c r="F64" s="5">
        <f>Table341011121318141516[[#This Row],[  18-24]]-Table3410111213181415[[#This Row],[  18-24]]</f>
        <v>1015.8853366306728</v>
      </c>
      <c r="G64" s="5">
        <f>Table341011121318141516[[#This Row],[  25-29 ]]-Table3410111213181415[[#This Row],[  25-29 ]]</f>
        <v>1130</v>
      </c>
      <c r="H64" s="5">
        <f>Table341011121318141516[[#This Row],[  30-34]]-Table3410111213181415[[#This Row],[  30-34]]</f>
        <v>1420</v>
      </c>
      <c r="I64" s="5">
        <f>Table341011121318141516[[#This Row],[  35-39]]-Table3410111213181415[[#This Row],[  35-39]]</f>
        <v>1260</v>
      </c>
      <c r="J64" s="5">
        <f>Table341011121318141516[[#This Row],[  40-44]]-Table3410111213181415[[#This Row],[  40-44]]</f>
        <v>1220</v>
      </c>
      <c r="K64" s="5">
        <f>Table341011121318141516[[#This Row],[  45-49 ]]-Table3410111213181415[[#This Row],[  45-49 ]]</f>
        <v>1550</v>
      </c>
      <c r="L64" s="5">
        <f>Table341011121318141516[[#This Row],[  50-54]]-Table3410111213181415[[#This Row],[  50-54]]</f>
        <v>1750</v>
      </c>
      <c r="M64" s="5">
        <f>Table341011121318141516[[#This Row],[  55-59]]-Table3410111213181415[[#This Row],[  55-59]]</f>
        <v>1980</v>
      </c>
      <c r="N64" s="5">
        <f>Table341011121318141516[[#This Row],[  60-64]]-Table3410111213181415[[#This Row],[  60-64]]</f>
        <v>2040</v>
      </c>
      <c r="O64" s="5">
        <f>Table341011121318141516[[#This Row],[  65-69]]-Table3410111213181415[[#This Row],[  65-69]]</f>
        <v>1860</v>
      </c>
      <c r="P64" s="5">
        <f>Table341011121318141516[[#This Row],[  70-74]]-Table3410111213181415[[#This Row],[  70-74]]</f>
        <v>1710</v>
      </c>
      <c r="Q64" s="5">
        <f>Table341011121318141516[[#This Row],[  75-79]]-Table3410111213181415[[#This Row],[  75-79]]</f>
        <v>1270</v>
      </c>
      <c r="R64" s="5">
        <f>Table341011121318141516[[#This Row],[  80-84]]-Table3410111213181415[[#This Row],[  80-84]]</f>
        <v>960</v>
      </c>
      <c r="S64" s="5">
        <f>Table341011121318141516[[#This Row],[  85-89]]-Table3410111213181415[[#This Row],[  85-89]]</f>
        <v>540</v>
      </c>
      <c r="T64" s="5">
        <f>Table341011121318141516[[#This Row],[  90+]]-Table3410111213181415[[#This Row],[  90+]]</f>
        <v>330</v>
      </c>
    </row>
    <row r="65" spans="1:20" x14ac:dyDescent="0.2">
      <c r="A65" s="13" t="s">
        <v>22</v>
      </c>
      <c r="B65" s="6" t="s">
        <v>22</v>
      </c>
      <c r="C65" s="5">
        <f>Table341011121318141516[[#This Row],[Total]]-Table3410111213181415[[#This Row],[Total]]</f>
        <v>4027450</v>
      </c>
      <c r="D65" s="5">
        <f>Table341011121318141516[[#This Row],[  5-11]]-Table3410111213181415[[#This Row],[  5-11]]</f>
        <v>485345.85225632996</v>
      </c>
      <c r="E65" s="5">
        <f>Table341011121318141516[[#This Row],[  12-17]]-Table3410111213181415[[#This Row],[  12-17]]</f>
        <v>259212.18634614308</v>
      </c>
      <c r="F65" s="5">
        <f>Table341011121318141516[[#This Row],[  18-24]]-Table3410111213181415[[#This Row],[  18-24]]</f>
        <v>232501.96139752705</v>
      </c>
      <c r="G65" s="5">
        <f>Table341011121318141516[[#This Row],[  25-29 ]]-Table3410111213181415[[#This Row],[  25-29 ]]</f>
        <v>301530</v>
      </c>
      <c r="H65" s="5">
        <f>Table341011121318141516[[#This Row],[  30-34]]-Table3410111213181415[[#This Row],[  30-34]]</f>
        <v>316560</v>
      </c>
      <c r="I65" s="5">
        <f>Table341011121318141516[[#This Row],[  35-39]]-Table3410111213181415[[#This Row],[  35-39]]</f>
        <v>291755</v>
      </c>
      <c r="J65" s="5">
        <f>Table341011121318141516[[#This Row],[  40-44]]-Table3410111213181415[[#This Row],[  40-44]]</f>
        <v>266115</v>
      </c>
      <c r="K65" s="5">
        <f>Table341011121318141516[[#This Row],[  45-49 ]]-Table3410111213181415[[#This Row],[  45-49 ]]</f>
        <v>277730</v>
      </c>
      <c r="L65" s="5">
        <f>Table341011121318141516[[#This Row],[  50-54]]-Table3410111213181415[[#This Row],[  50-54]]</f>
        <v>286990</v>
      </c>
      <c r="M65" s="5">
        <f>Table341011121318141516[[#This Row],[  55-59]]-Table3410111213181415[[#This Row],[  55-59]]</f>
        <v>283490</v>
      </c>
      <c r="N65" s="5">
        <f>Table341011121318141516[[#This Row],[  60-64]]-Table3410111213181415[[#This Row],[  60-64]]</f>
        <v>264270</v>
      </c>
      <c r="O65" s="5">
        <f>Table341011121318141516[[#This Row],[  65-69]]-Table3410111213181415[[#This Row],[  65-69]]</f>
        <v>230415</v>
      </c>
      <c r="P65" s="5">
        <f>Table341011121318141516[[#This Row],[  70-74]]-Table3410111213181415[[#This Row],[  70-74]]</f>
        <v>203625</v>
      </c>
      <c r="Q65" s="5">
        <f>Table341011121318141516[[#This Row],[  75-79]]-Table3410111213181415[[#This Row],[  75-79]]</f>
        <v>141750</v>
      </c>
      <c r="R65" s="5">
        <f>Table341011121318141516[[#This Row],[  80-84]]-Table3410111213181415[[#This Row],[  80-84]]</f>
        <v>98630</v>
      </c>
      <c r="S65" s="5">
        <f>Table341011121318141516[[#This Row],[  85-89]]-Table3410111213181415[[#This Row],[  85-89]]</f>
        <v>54310</v>
      </c>
      <c r="T65" s="5">
        <f>Table341011121318141516[[#This Row],[  90+]]-Table3410111213181415[[#This Row],[  90+]]</f>
        <v>33220</v>
      </c>
    </row>
    <row r="66" spans="1:20" x14ac:dyDescent="0.2">
      <c r="A66" s="10" t="s">
        <v>22</v>
      </c>
      <c r="B66" s="6" t="s">
        <v>0</v>
      </c>
      <c r="C66" s="5">
        <f>Table341011121318141516[[#This Row],[Total]]-Table3410111213181415[[#This Row],[Total]]</f>
        <v>1995030</v>
      </c>
      <c r="D66" s="5">
        <f>Table341011121318141516[[#This Row],[  5-11]]-Table3410111213181415[[#This Row],[  5-11]]</f>
        <v>249378.53640916513</v>
      </c>
      <c r="E66" s="5">
        <f>Table341011121318141516[[#This Row],[  12-17]]-Table3410111213181415[[#This Row],[  12-17]]</f>
        <v>133637.84812881215</v>
      </c>
      <c r="F66" s="5">
        <f>Table341011121318141516[[#This Row],[  18-24]]-Table3410111213181415[[#This Row],[  18-24]]</f>
        <v>119608.61546202269</v>
      </c>
      <c r="G66" s="5">
        <f>Table341011121318141516[[#This Row],[  25-29 ]]-Table3410111213181415[[#This Row],[  25-29 ]]</f>
        <v>156575</v>
      </c>
      <c r="H66" s="5">
        <f>Table341011121318141516[[#This Row],[  30-34]]-Table3410111213181415[[#This Row],[  30-34]]</f>
        <v>158010</v>
      </c>
      <c r="I66" s="5">
        <f>Table341011121318141516[[#This Row],[  35-39]]-Table3410111213181415[[#This Row],[  35-39]]</f>
        <v>145245</v>
      </c>
      <c r="J66" s="5">
        <f>Table341011121318141516[[#This Row],[  40-44]]-Table3410111213181415[[#This Row],[  40-44]]</f>
        <v>132080</v>
      </c>
      <c r="K66" s="5">
        <f>Table341011121318141516[[#This Row],[  45-49 ]]-Table3410111213181415[[#This Row],[  45-49 ]]</f>
        <v>136675</v>
      </c>
      <c r="L66" s="5">
        <f>Table341011121318141516[[#This Row],[  50-54]]-Table3410111213181415[[#This Row],[  50-54]]</f>
        <v>140355</v>
      </c>
      <c r="M66" s="5">
        <f>Table341011121318141516[[#This Row],[  55-59]]-Table3410111213181415[[#This Row],[  55-59]]</f>
        <v>138335</v>
      </c>
      <c r="N66" s="5">
        <f>Table341011121318141516[[#This Row],[  60-64]]-Table3410111213181415[[#This Row],[  60-64]]</f>
        <v>128405</v>
      </c>
      <c r="O66" s="5">
        <f>Table341011121318141516[[#This Row],[  65-69]]-Table3410111213181415[[#This Row],[  65-69]]</f>
        <v>112050</v>
      </c>
      <c r="P66" s="5">
        <f>Table341011121318141516[[#This Row],[  70-74]]-Table3410111213181415[[#This Row],[  70-74]]</f>
        <v>99085</v>
      </c>
      <c r="Q66" s="5">
        <f>Table341011121318141516[[#This Row],[  75-79]]-Table3410111213181415[[#This Row],[  75-79]]</f>
        <v>67160</v>
      </c>
      <c r="R66" s="5">
        <f>Table341011121318141516[[#This Row],[  80-84]]-Table3410111213181415[[#This Row],[  80-84]]</f>
        <v>44485</v>
      </c>
      <c r="S66" s="5">
        <f>Table341011121318141516[[#This Row],[  85-89]]-Table3410111213181415[[#This Row],[  85-89]]</f>
        <v>22535</v>
      </c>
      <c r="T66" s="5">
        <f>Table341011121318141516[[#This Row],[  90+]]-Table3410111213181415[[#This Row],[  90+]]</f>
        <v>11410</v>
      </c>
    </row>
    <row r="67" spans="1:20" x14ac:dyDescent="0.2">
      <c r="A67" s="10" t="s">
        <v>22</v>
      </c>
      <c r="B67" s="6" t="s">
        <v>23</v>
      </c>
      <c r="C67" s="5">
        <f>Table341011121318141516[[#This Row],[Total]]-Table3410111213181415[[#This Row],[Total]]</f>
        <v>2032420</v>
      </c>
      <c r="D67" s="5">
        <f>Table341011121318141516[[#This Row],[  5-11]]-Table3410111213181415[[#This Row],[  5-11]]</f>
        <v>235952.14283355683</v>
      </c>
      <c r="E67" s="5">
        <f>Table341011121318141516[[#This Row],[  12-17]]-Table3410111213181415[[#This Row],[  12-17]]</f>
        <v>125589.85831982794</v>
      </c>
      <c r="F67" s="5">
        <f>Table341011121318141516[[#This Row],[  18-24]]-Table3410111213181415[[#This Row],[  18-24]]</f>
        <v>112892.99884661526</v>
      </c>
      <c r="G67" s="5">
        <f>Table341011121318141516[[#This Row],[  25-29 ]]-Table3410111213181415[[#This Row],[  25-29 ]]</f>
        <v>144955</v>
      </c>
      <c r="H67" s="5">
        <f>Table341011121318141516[[#This Row],[  30-34]]-Table3410111213181415[[#This Row],[  30-34]]</f>
        <v>158550</v>
      </c>
      <c r="I67" s="5">
        <f>Table341011121318141516[[#This Row],[  35-39]]-Table3410111213181415[[#This Row],[  35-39]]</f>
        <v>146510</v>
      </c>
      <c r="J67" s="5">
        <f>Table341011121318141516[[#This Row],[  40-44]]-Table3410111213181415[[#This Row],[  40-44]]</f>
        <v>134035</v>
      </c>
      <c r="K67" s="5">
        <f>Table341011121318141516[[#This Row],[  45-49 ]]-Table3410111213181415[[#This Row],[  45-49 ]]</f>
        <v>141055</v>
      </c>
      <c r="L67" s="5">
        <f>Table341011121318141516[[#This Row],[  50-54]]-Table3410111213181415[[#This Row],[  50-54]]</f>
        <v>146635</v>
      </c>
      <c r="M67" s="5">
        <f>Table341011121318141516[[#This Row],[  55-59]]-Table3410111213181415[[#This Row],[  55-59]]</f>
        <v>145155</v>
      </c>
      <c r="N67" s="5">
        <f>Table341011121318141516[[#This Row],[  60-64]]-Table3410111213181415[[#This Row],[  60-64]]</f>
        <v>135865</v>
      </c>
      <c r="O67" s="5">
        <f>Table341011121318141516[[#This Row],[  65-69]]-Table3410111213181415[[#This Row],[  65-69]]</f>
        <v>118365</v>
      </c>
      <c r="P67" s="5">
        <f>Table341011121318141516[[#This Row],[  70-74]]-Table3410111213181415[[#This Row],[  70-74]]</f>
        <v>104540</v>
      </c>
      <c r="Q67" s="5">
        <f>Table341011121318141516[[#This Row],[  75-79]]-Table3410111213181415[[#This Row],[  75-79]]</f>
        <v>74590</v>
      </c>
      <c r="R67" s="5">
        <f>Table341011121318141516[[#This Row],[  80-84]]-Table3410111213181415[[#This Row],[  80-84]]</f>
        <v>54145</v>
      </c>
      <c r="S67" s="5">
        <f>Table341011121318141516[[#This Row],[  85-89]]-Table3410111213181415[[#This Row],[  85-89]]</f>
        <v>31775</v>
      </c>
      <c r="T67" s="5">
        <f>Table341011121318141516[[#This Row],[  90+]]-Table3410111213181415[[#This Row],[  90+]]</f>
        <v>21810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8BD7-9F3C-8E40-84CD-4C28183A7D1E}">
  <dimension ref="A1:T67"/>
  <sheetViews>
    <sheetView zoomScale="112" zoomScaleNormal="150" workbookViewId="0">
      <selection activeCell="K19" sqref="K19"/>
    </sheetView>
  </sheetViews>
  <sheetFormatPr baseColWidth="10" defaultRowHeight="14" x14ac:dyDescent="0.2"/>
  <cols>
    <col min="1" max="3" width="10.83203125" style="5"/>
    <col min="4" max="4" width="12.1640625" style="5" bestFit="1" customWidth="1"/>
    <col min="5" max="5" width="11.33203125" style="5" bestFit="1" customWidth="1"/>
    <col min="6" max="6" width="11.83203125" style="5" bestFit="1" customWidth="1"/>
    <col min="7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Table341011121318141516[[#This Row],[Total]]-Table341011[[#This Row],[Total]]</f>
        <v>45608</v>
      </c>
      <c r="D2" s="38">
        <f>Table341011121318141516[[#This Row],[  5-11]]-Table341011[[#This Row],[  5-11]]</f>
        <v>42895.940508172178</v>
      </c>
      <c r="E2" s="38">
        <f>Table341011121318141516[[#This Row],[  12-17]]-Table341011[[#This Row],[  12-17]]</f>
        <v>5136.1128109427227</v>
      </c>
      <c r="F2" s="38">
        <f>Table341011121318141516[[#This Row],[  18-24]]-Table341011[[#This Row],[  18-24]]</f>
        <v>-13873.053319114901</v>
      </c>
      <c r="G2" s="5">
        <f>Table341011121318141516[[#This Row],[  25-29 ]]-Table341011[[#This Row],[  25-29 ]]</f>
        <v>8808</v>
      </c>
      <c r="H2" s="5">
        <f>Table341011121318141516[[#This Row],[  30-34]]-Table341011[[#This Row],[  30-34]]</f>
        <v>4926</v>
      </c>
      <c r="I2" s="5">
        <f>Table341011121318141516[[#This Row],[  35-39]]-Table341011[[#This Row],[  35-39]]</f>
        <v>713</v>
      </c>
      <c r="J2" s="5">
        <f>Table341011121318141516[[#This Row],[  40-44]]-Table341011[[#This Row],[  40-44]]</f>
        <v>-1163</v>
      </c>
      <c r="K2" s="5">
        <f>Table341011121318141516[[#This Row],[  45-49 ]]-Table341011[[#This Row],[  45-49 ]]</f>
        <v>758</v>
      </c>
      <c r="L2" s="5">
        <f>Table341011121318141516[[#This Row],[  50-54]]-Table341011[[#This Row],[  50-54]]</f>
        <v>-1007</v>
      </c>
      <c r="M2" s="5">
        <f>Table341011121318141516[[#This Row],[  55-59]]-Table341011[[#This Row],[  55-59]]</f>
        <v>686</v>
      </c>
      <c r="N2" s="5">
        <f>Table341011121318141516[[#This Row],[  60-64]]-Table341011[[#This Row],[  60-64]]</f>
        <v>-422</v>
      </c>
      <c r="O2" s="5">
        <f>Table341011121318141516[[#This Row],[  65-69]]-Table341011[[#This Row],[  65-69]]</f>
        <v>-564</v>
      </c>
      <c r="P2" s="5">
        <f>Table341011121318141516[[#This Row],[  70-74]]-Table341011[[#This Row],[  70-74]]</f>
        <v>-419</v>
      </c>
      <c r="Q2" s="5">
        <f>Table341011121318141516[[#This Row],[  75-79]]-Table341011[[#This Row],[  75-79]]</f>
        <v>-787</v>
      </c>
      <c r="R2" s="5">
        <f>Table341011121318141516[[#This Row],[  80-84]]-Table341011[[#This Row],[  80-84]]</f>
        <v>-233</v>
      </c>
      <c r="S2" s="5">
        <f>Table341011121318141516[[#This Row],[  85-89]]-Table341011[[#This Row],[  85-89]]</f>
        <v>-92</v>
      </c>
      <c r="T2" s="5">
        <f>Table341011121318141516[[#This Row],[  90+]]-Table341011[[#This Row],[  90+]]</f>
        <v>245</v>
      </c>
    </row>
    <row r="3" spans="1:20" x14ac:dyDescent="0.2">
      <c r="A3" s="9" t="s">
        <v>1</v>
      </c>
      <c r="B3" s="6" t="s">
        <v>0</v>
      </c>
      <c r="C3" s="5">
        <f>Table341011121318141516[[#This Row],[Total]]-Table341011[[#This Row],[Total]]</f>
        <v>21845</v>
      </c>
      <c r="D3" s="38">
        <f>Table341011121318141516[[#This Row],[  5-11]]-Table341011[[#This Row],[  5-11]]</f>
        <v>21738.301305858393</v>
      </c>
      <c r="E3" s="38">
        <f>Table341011121318141516[[#This Row],[  12-17]]-Table341011[[#This Row],[  12-17]]</f>
        <v>2672.8678567149873</v>
      </c>
      <c r="F3" s="38">
        <f>Table341011121318141516[[#This Row],[  18-24]]-Table341011[[#This Row],[  18-24]]</f>
        <v>-6211.1691625733802</v>
      </c>
      <c r="G3" s="5">
        <f>Table341011121318141516[[#This Row],[  25-29 ]]-Table341011[[#This Row],[  25-29 ]]</f>
        <v>4481</v>
      </c>
      <c r="H3" s="5">
        <f>Table341011121318141516[[#This Row],[  30-34]]-Table341011[[#This Row],[  30-34]]</f>
        <v>2426</v>
      </c>
      <c r="I3" s="5">
        <f>Table341011121318141516[[#This Row],[  35-39]]-Table341011[[#This Row],[  35-39]]</f>
        <v>-270</v>
      </c>
      <c r="J3" s="5">
        <f>Table341011121318141516[[#This Row],[  40-44]]-Table341011[[#This Row],[  40-44]]</f>
        <v>-680</v>
      </c>
      <c r="K3" s="5">
        <f>Table341011121318141516[[#This Row],[  45-49 ]]-Table341011[[#This Row],[  45-49 ]]</f>
        <v>289</v>
      </c>
      <c r="L3" s="5">
        <f>Table341011121318141516[[#This Row],[  50-54]]-Table341011[[#This Row],[  50-54]]</f>
        <v>-752</v>
      </c>
      <c r="M3" s="5">
        <f>Table341011121318141516[[#This Row],[  55-59]]-Table341011[[#This Row],[  55-59]]</f>
        <v>-21</v>
      </c>
      <c r="N3" s="5">
        <f>Table341011121318141516[[#This Row],[  60-64]]-Table341011[[#This Row],[  60-64]]</f>
        <v>-342</v>
      </c>
      <c r="O3" s="5">
        <f>Table341011121318141516[[#This Row],[  65-69]]-Table341011[[#This Row],[  65-69]]</f>
        <v>-534</v>
      </c>
      <c r="P3" s="5">
        <f>Table341011121318141516[[#This Row],[  70-74]]-Table341011[[#This Row],[  70-74]]</f>
        <v>-362</v>
      </c>
      <c r="Q3" s="5">
        <f>Table341011121318141516[[#This Row],[  75-79]]-Table341011[[#This Row],[  75-79]]</f>
        <v>-350</v>
      </c>
      <c r="R3" s="5">
        <f>Table341011121318141516[[#This Row],[  80-84]]-Table341011[[#This Row],[  80-84]]</f>
        <v>-207</v>
      </c>
      <c r="S3" s="5">
        <f>Table341011121318141516[[#This Row],[  85-89]]-Table341011[[#This Row],[  85-89]]</f>
        <v>-84</v>
      </c>
      <c r="T3" s="5">
        <f>Table341011121318141516[[#This Row],[  90+]]-Table341011[[#This Row],[  90+]]</f>
        <v>51</v>
      </c>
    </row>
    <row r="4" spans="1:20" x14ac:dyDescent="0.2">
      <c r="A4" s="9" t="s">
        <v>1</v>
      </c>
      <c r="B4" s="6" t="s">
        <v>23</v>
      </c>
      <c r="C4" s="5">
        <f>Table341011121318141516[[#This Row],[Total]]-Table341011[[#This Row],[Total]]</f>
        <v>23763</v>
      </c>
      <c r="D4" s="38">
        <f>Table341011121318141516[[#This Row],[  5-11]]-Table341011[[#This Row],[  5-11]]</f>
        <v>21157.315844944245</v>
      </c>
      <c r="E4" s="38">
        <f>Table341011121318141516[[#This Row],[  12-17]]-Table341011[[#This Row],[  12-17]]</f>
        <v>2463.5321557302741</v>
      </c>
      <c r="F4" s="38">
        <f>Table341011121318141516[[#This Row],[  18-24]]-Table341011[[#This Row],[  18-24]]</f>
        <v>-7661.8480006745212</v>
      </c>
      <c r="G4" s="5">
        <f>Table341011121318141516[[#This Row],[  25-29 ]]-Table341011[[#This Row],[  25-29 ]]</f>
        <v>4327</v>
      </c>
      <c r="H4" s="5">
        <f>Table341011121318141516[[#This Row],[  30-34]]-Table341011[[#This Row],[  30-34]]</f>
        <v>2500</v>
      </c>
      <c r="I4" s="5">
        <f>Table341011121318141516[[#This Row],[  35-39]]-Table341011[[#This Row],[  35-39]]</f>
        <v>983</v>
      </c>
      <c r="J4" s="5">
        <f>Table341011121318141516[[#This Row],[  40-44]]-Table341011[[#This Row],[  40-44]]</f>
        <v>-483</v>
      </c>
      <c r="K4" s="5">
        <f>Table341011121318141516[[#This Row],[  45-49 ]]-Table341011[[#This Row],[  45-49 ]]</f>
        <v>469</v>
      </c>
      <c r="L4" s="5">
        <f>Table341011121318141516[[#This Row],[  50-54]]-Table341011[[#This Row],[  50-54]]</f>
        <v>-255</v>
      </c>
      <c r="M4" s="5">
        <f>Table341011121318141516[[#This Row],[  55-59]]-Table341011[[#This Row],[  55-59]]</f>
        <v>707</v>
      </c>
      <c r="N4" s="5">
        <f>Table341011121318141516[[#This Row],[  60-64]]-Table341011[[#This Row],[  60-64]]</f>
        <v>-80</v>
      </c>
      <c r="O4" s="5">
        <f>Table341011121318141516[[#This Row],[  65-69]]-Table341011[[#This Row],[  65-69]]</f>
        <v>-30</v>
      </c>
      <c r="P4" s="5">
        <f>Table341011121318141516[[#This Row],[  70-74]]-Table341011[[#This Row],[  70-74]]</f>
        <v>-57</v>
      </c>
      <c r="Q4" s="5">
        <f>Table341011121318141516[[#This Row],[  75-79]]-Table341011[[#This Row],[  75-79]]</f>
        <v>-437</v>
      </c>
      <c r="R4" s="5">
        <f>Table341011121318141516[[#This Row],[  80-84]]-Table341011[[#This Row],[  80-84]]</f>
        <v>-26</v>
      </c>
      <c r="S4" s="5">
        <f>Table341011121318141516[[#This Row],[  85-89]]-Table341011[[#This Row],[  85-89]]</f>
        <v>-8</v>
      </c>
      <c r="T4" s="5">
        <f>Table341011121318141516[[#This Row],[  90+]]-Table341011[[#This Row],[  90+]]</f>
        <v>194</v>
      </c>
    </row>
    <row r="5" spans="1:20" ht="15" x14ac:dyDescent="0.2">
      <c r="A5" s="8" t="s">
        <v>2</v>
      </c>
      <c r="B5" s="6" t="s">
        <v>22</v>
      </c>
      <c r="C5" s="5">
        <f>Table341011121318141516[[#This Row],[Total]]-Table341011[[#This Row],[Total]]</f>
        <v>45769</v>
      </c>
      <c r="D5" s="38">
        <f>Table341011121318141516[[#This Row],[  5-11]]-Table341011[[#This Row],[  5-11]]</f>
        <v>25836.378668252568</v>
      </c>
      <c r="E5" s="38">
        <f>Table341011121318141516[[#This Row],[  12-17]]-Table341011[[#This Row],[  12-17]]</f>
        <v>2004.8972581670532</v>
      </c>
      <c r="F5" s="38">
        <f>Table341011121318141516[[#This Row],[  18-24]]-Table341011[[#This Row],[  18-24]]</f>
        <v>-657.2759264196211</v>
      </c>
      <c r="G5" s="5">
        <f>Table341011121318141516[[#This Row],[  25-29 ]]-Table341011[[#This Row],[  25-29 ]]</f>
        <v>1120</v>
      </c>
      <c r="H5" s="5">
        <f>Table341011121318141516[[#This Row],[  30-34]]-Table341011[[#This Row],[  30-34]]</f>
        <v>614</v>
      </c>
      <c r="I5" s="5">
        <f>Table341011121318141516[[#This Row],[  35-39]]-Table341011[[#This Row],[  35-39]]</f>
        <v>1406</v>
      </c>
      <c r="J5" s="5">
        <f>Table341011121318141516[[#This Row],[  40-44]]-Table341011[[#This Row],[  40-44]]</f>
        <v>1726</v>
      </c>
      <c r="K5" s="5">
        <f>Table341011121318141516[[#This Row],[  45-49 ]]-Table341011[[#This Row],[  45-49 ]]</f>
        <v>2870</v>
      </c>
      <c r="L5" s="5">
        <f>Table341011121318141516[[#This Row],[  50-54]]-Table341011[[#This Row],[  50-54]]</f>
        <v>2334</v>
      </c>
      <c r="M5" s="5">
        <f>Table341011121318141516[[#This Row],[  55-59]]-Table341011[[#This Row],[  55-59]]</f>
        <v>2843</v>
      </c>
      <c r="N5" s="5">
        <f>Table341011121318141516[[#This Row],[  60-64]]-Table341011[[#This Row],[  60-64]]</f>
        <v>1716</v>
      </c>
      <c r="O5" s="5">
        <f>Table341011121318141516[[#This Row],[  65-69]]-Table341011[[#This Row],[  65-69]]</f>
        <v>1612</v>
      </c>
      <c r="P5" s="5">
        <f>Table341011121318141516[[#This Row],[  70-74]]-Table341011[[#This Row],[  70-74]]</f>
        <v>1703</v>
      </c>
      <c r="Q5" s="5">
        <f>Table341011121318141516[[#This Row],[  75-79]]-Table341011[[#This Row],[  75-79]]</f>
        <v>55</v>
      </c>
      <c r="R5" s="5">
        <f>Table341011121318141516[[#This Row],[  80-84]]-Table341011[[#This Row],[  80-84]]</f>
        <v>48</v>
      </c>
      <c r="S5" s="5">
        <f>Table341011121318141516[[#This Row],[  85-89]]-Table341011[[#This Row],[  85-89]]</f>
        <v>213</v>
      </c>
      <c r="T5" s="5">
        <f>Table341011121318141516[[#This Row],[  90+]]-Table341011[[#This Row],[  90+]]</f>
        <v>325</v>
      </c>
    </row>
    <row r="6" spans="1:20" ht="15" x14ac:dyDescent="0.2">
      <c r="A6" s="8" t="s">
        <v>2</v>
      </c>
      <c r="B6" s="6" t="s">
        <v>0</v>
      </c>
      <c r="C6" s="5">
        <f>Table341011121318141516[[#This Row],[Total]]-Table341011[[#This Row],[Total]]</f>
        <v>22566</v>
      </c>
      <c r="D6" s="38">
        <f>Table341011121318141516[[#This Row],[  5-11]]-Table341011[[#This Row],[  5-11]]</f>
        <v>13459.215406732957</v>
      </c>
      <c r="E6" s="38">
        <f>Table341011121318141516[[#This Row],[  12-17]]-Table341011[[#This Row],[  12-17]]</f>
        <v>1193.367557206182</v>
      </c>
      <c r="F6" s="38">
        <f>Table341011121318141516[[#This Row],[  18-24]]-Table341011[[#This Row],[  18-24]]</f>
        <v>-594.58296393913952</v>
      </c>
      <c r="G6" s="5">
        <f>Table341011121318141516[[#This Row],[  25-29 ]]-Table341011[[#This Row],[  25-29 ]]</f>
        <v>638</v>
      </c>
      <c r="H6" s="5">
        <f>Table341011121318141516[[#This Row],[  30-34]]-Table341011[[#This Row],[  30-34]]</f>
        <v>93</v>
      </c>
      <c r="I6" s="5">
        <f>Table341011121318141516[[#This Row],[  35-39]]-Table341011[[#This Row],[  35-39]]</f>
        <v>684</v>
      </c>
      <c r="J6" s="5">
        <f>Table341011121318141516[[#This Row],[  40-44]]-Table341011[[#This Row],[  40-44]]</f>
        <v>721</v>
      </c>
      <c r="K6" s="5">
        <f>Table341011121318141516[[#This Row],[  45-49 ]]-Table341011[[#This Row],[  45-49 ]]</f>
        <v>1298</v>
      </c>
      <c r="L6" s="5">
        <f>Table341011121318141516[[#This Row],[  50-54]]-Table341011[[#This Row],[  50-54]]</f>
        <v>1163</v>
      </c>
      <c r="M6" s="5">
        <f>Table341011121318141516[[#This Row],[  55-59]]-Table341011[[#This Row],[  55-59]]</f>
        <v>1405</v>
      </c>
      <c r="N6" s="5">
        <f>Table341011121318141516[[#This Row],[  60-64]]-Table341011[[#This Row],[  60-64]]</f>
        <v>714</v>
      </c>
      <c r="O6" s="5">
        <f>Table341011121318141516[[#This Row],[  65-69]]-Table341011[[#This Row],[  65-69]]</f>
        <v>717</v>
      </c>
      <c r="P6" s="5">
        <f>Table341011121318141516[[#This Row],[  70-74]]-Table341011[[#This Row],[  70-74]]</f>
        <v>884</v>
      </c>
      <c r="Q6" s="5">
        <f>Table341011121318141516[[#This Row],[  75-79]]-Table341011[[#This Row],[  75-79]]</f>
        <v>-47</v>
      </c>
      <c r="R6" s="5">
        <f>Table341011121318141516[[#This Row],[  80-84]]-Table341011[[#This Row],[  80-84]]</f>
        <v>62</v>
      </c>
      <c r="S6" s="5">
        <f>Table341011121318141516[[#This Row],[  85-89]]-Table341011[[#This Row],[  85-89]]</f>
        <v>50</v>
      </c>
      <c r="T6" s="5">
        <f>Table341011121318141516[[#This Row],[  90+]]-Table341011[[#This Row],[  90+]]</f>
        <v>126</v>
      </c>
    </row>
    <row r="7" spans="1:20" ht="15" x14ac:dyDescent="0.2">
      <c r="A7" s="8" t="s">
        <v>2</v>
      </c>
      <c r="B7" s="6" t="s">
        <v>23</v>
      </c>
      <c r="C7" s="5">
        <f>Table341011121318141516[[#This Row],[Total]]-Table341011[[#This Row],[Total]]</f>
        <v>23203</v>
      </c>
      <c r="D7" s="38">
        <f>Table341011121318141516[[#This Row],[  5-11]]-Table341011[[#This Row],[  5-11]]</f>
        <v>12376.519107944605</v>
      </c>
      <c r="E7" s="38">
        <f>Table341011121318141516[[#This Row],[  12-17]]-Table341011[[#This Row],[  12-17]]</f>
        <v>812.49168440800167</v>
      </c>
      <c r="F7" s="38">
        <f>Table341011121318141516[[#This Row],[  18-24]]-Table341011[[#This Row],[  18-24]]</f>
        <v>-63.010792352605677</v>
      </c>
      <c r="G7" s="5">
        <f>Table341011121318141516[[#This Row],[  25-29 ]]-Table341011[[#This Row],[  25-29 ]]</f>
        <v>482</v>
      </c>
      <c r="H7" s="5">
        <f>Table341011121318141516[[#This Row],[  30-34]]-Table341011[[#This Row],[  30-34]]</f>
        <v>521</v>
      </c>
      <c r="I7" s="5">
        <f>Table341011121318141516[[#This Row],[  35-39]]-Table341011[[#This Row],[  35-39]]</f>
        <v>722</v>
      </c>
      <c r="J7" s="5">
        <f>Table341011121318141516[[#This Row],[  40-44]]-Table341011[[#This Row],[  40-44]]</f>
        <v>1005</v>
      </c>
      <c r="K7" s="5">
        <f>Table341011121318141516[[#This Row],[  45-49 ]]-Table341011[[#This Row],[  45-49 ]]</f>
        <v>1572</v>
      </c>
      <c r="L7" s="5">
        <f>Table341011121318141516[[#This Row],[  50-54]]-Table341011[[#This Row],[  50-54]]</f>
        <v>1171</v>
      </c>
      <c r="M7" s="5">
        <f>Table341011121318141516[[#This Row],[  55-59]]-Table341011[[#This Row],[  55-59]]</f>
        <v>1438</v>
      </c>
      <c r="N7" s="5">
        <f>Table341011121318141516[[#This Row],[  60-64]]-Table341011[[#This Row],[  60-64]]</f>
        <v>1002</v>
      </c>
      <c r="O7" s="5">
        <f>Table341011121318141516[[#This Row],[  65-69]]-Table341011[[#This Row],[  65-69]]</f>
        <v>895</v>
      </c>
      <c r="P7" s="5">
        <f>Table341011121318141516[[#This Row],[  70-74]]-Table341011[[#This Row],[  70-74]]</f>
        <v>819</v>
      </c>
      <c r="Q7" s="5">
        <f>Table341011121318141516[[#This Row],[  75-79]]-Table341011[[#This Row],[  75-79]]</f>
        <v>102</v>
      </c>
      <c r="R7" s="5">
        <f>Table341011121318141516[[#This Row],[  80-84]]-Table341011[[#This Row],[  80-84]]</f>
        <v>-14</v>
      </c>
      <c r="S7" s="5">
        <f>Table341011121318141516[[#This Row],[  85-89]]-Table341011[[#This Row],[  85-89]]</f>
        <v>163</v>
      </c>
      <c r="T7" s="5">
        <f>Table341011121318141516[[#This Row],[  90+]]-Table341011[[#This Row],[  90+]]</f>
        <v>199</v>
      </c>
    </row>
    <row r="8" spans="1:20" x14ac:dyDescent="0.2">
      <c r="A8" s="9" t="s">
        <v>3</v>
      </c>
      <c r="B8" s="6" t="s">
        <v>22</v>
      </c>
      <c r="C8" s="5">
        <f>Table341011121318141516[[#This Row],[Total]]-Table341011[[#This Row],[Total]]</f>
        <v>57145</v>
      </c>
      <c r="D8" s="38">
        <f>Table341011121318141516[[#This Row],[  5-11]]-Table341011[[#This Row],[  5-11]]</f>
        <v>51028.081475709041</v>
      </c>
      <c r="E8" s="38">
        <f>Table341011121318141516[[#This Row],[  12-17]]-Table341011[[#This Row],[  12-17]]</f>
        <v>3677.6383323421396</v>
      </c>
      <c r="F8" s="38">
        <f>Table341011121318141516[[#This Row],[  18-24]]-Table341011[[#This Row],[  18-24]]</f>
        <v>-13347.719808051188</v>
      </c>
      <c r="G8" s="5">
        <f>Table341011121318141516[[#This Row],[  25-29 ]]-Table341011[[#This Row],[  25-29 ]]</f>
        <v>3201</v>
      </c>
      <c r="H8" s="5">
        <f>Table341011121318141516[[#This Row],[  30-34]]-Table341011[[#This Row],[  30-34]]</f>
        <v>2136</v>
      </c>
      <c r="I8" s="5">
        <f>Table341011121318141516[[#This Row],[  35-39]]-Table341011[[#This Row],[  35-39]]</f>
        <v>1587</v>
      </c>
      <c r="J8" s="5">
        <f>Table341011121318141516[[#This Row],[  40-44]]-Table341011[[#This Row],[  40-44]]</f>
        <v>2616</v>
      </c>
      <c r="K8" s="5">
        <f>Table341011121318141516[[#This Row],[  45-49 ]]-Table341011[[#This Row],[  45-49 ]]</f>
        <v>4102</v>
      </c>
      <c r="L8" s="5">
        <f>Table341011121318141516[[#This Row],[  50-54]]-Table341011[[#This Row],[  50-54]]</f>
        <v>1873</v>
      </c>
      <c r="M8" s="5">
        <f>Table341011121318141516[[#This Row],[  55-59]]-Table341011[[#This Row],[  55-59]]</f>
        <v>2146</v>
      </c>
      <c r="N8" s="5">
        <f>Table341011121318141516[[#This Row],[  60-64]]-Table341011[[#This Row],[  60-64]]</f>
        <v>394</v>
      </c>
      <c r="O8" s="5">
        <f>Table341011121318141516[[#This Row],[  65-69]]-Table341011[[#This Row],[  65-69]]</f>
        <v>-147</v>
      </c>
      <c r="P8" s="5">
        <f>Table341011121318141516[[#This Row],[  70-74]]-Table341011[[#This Row],[  70-74]]</f>
        <v>-7</v>
      </c>
      <c r="Q8" s="5">
        <f>Table341011121318141516[[#This Row],[  75-79]]-Table341011[[#This Row],[  75-79]]</f>
        <v>-1690</v>
      </c>
      <c r="R8" s="5">
        <f>Table341011121318141516[[#This Row],[  80-84]]-Table341011[[#This Row],[  80-84]]</f>
        <v>-578</v>
      </c>
      <c r="S8" s="5">
        <f>Table341011121318141516[[#This Row],[  85-89]]-Table341011[[#This Row],[  85-89]]</f>
        <v>-7</v>
      </c>
      <c r="T8" s="5">
        <f>Table341011121318141516[[#This Row],[  90+]]-Table341011[[#This Row],[  90+]]</f>
        <v>161</v>
      </c>
    </row>
    <row r="9" spans="1:20" x14ac:dyDescent="0.2">
      <c r="A9" s="9" t="s">
        <v>3</v>
      </c>
      <c r="B9" s="6" t="s">
        <v>0</v>
      </c>
      <c r="C9" s="5">
        <f>Table341011121318141516[[#This Row],[Total]]-Table341011[[#This Row],[Total]]</f>
        <v>32305</v>
      </c>
      <c r="D9" s="38">
        <f>Table341011121318141516[[#This Row],[  5-11]]-Table341011[[#This Row],[  5-11]]</f>
        <v>26855.523181981553</v>
      </c>
      <c r="E9" s="38">
        <f>Table341011121318141516[[#This Row],[  12-17]]-Table341011[[#This Row],[  12-17]]</f>
        <v>2318.4125633960321</v>
      </c>
      <c r="F9" s="38">
        <f>Table341011121318141516[[#This Row],[  18-24]]-Table341011[[#This Row],[  18-24]]</f>
        <v>-6804.935745377581</v>
      </c>
      <c r="G9" s="5">
        <f>Table341011121318141516[[#This Row],[  25-29 ]]-Table341011[[#This Row],[  25-29 ]]</f>
        <v>2538</v>
      </c>
      <c r="H9" s="5">
        <f>Table341011121318141516[[#This Row],[  30-34]]-Table341011[[#This Row],[  30-34]]</f>
        <v>1618</v>
      </c>
      <c r="I9" s="5">
        <f>Table341011121318141516[[#This Row],[  35-39]]-Table341011[[#This Row],[  35-39]]</f>
        <v>1070</v>
      </c>
      <c r="J9" s="5">
        <f>Table341011121318141516[[#This Row],[  40-44]]-Table341011[[#This Row],[  40-44]]</f>
        <v>1446</v>
      </c>
      <c r="K9" s="5">
        <f>Table341011121318141516[[#This Row],[  45-49 ]]-Table341011[[#This Row],[  45-49 ]]</f>
        <v>2170</v>
      </c>
      <c r="L9" s="5">
        <f>Table341011121318141516[[#This Row],[  50-54]]-Table341011[[#This Row],[  50-54]]</f>
        <v>1261</v>
      </c>
      <c r="M9" s="5">
        <f>Table341011121318141516[[#This Row],[  55-59]]-Table341011[[#This Row],[  55-59]]</f>
        <v>988</v>
      </c>
      <c r="N9" s="5">
        <f>Table341011121318141516[[#This Row],[  60-64]]-Table341011[[#This Row],[  60-64]]</f>
        <v>211</v>
      </c>
      <c r="O9" s="5">
        <f>Table341011121318141516[[#This Row],[  65-69]]-Table341011[[#This Row],[  65-69]]</f>
        <v>-45</v>
      </c>
      <c r="P9" s="5">
        <f>Table341011121318141516[[#This Row],[  70-74]]-Table341011[[#This Row],[  70-74]]</f>
        <v>-120</v>
      </c>
      <c r="Q9" s="5">
        <f>Table341011121318141516[[#This Row],[  75-79]]-Table341011[[#This Row],[  75-79]]</f>
        <v>-793</v>
      </c>
      <c r="R9" s="5">
        <f>Table341011121318141516[[#This Row],[  80-84]]-Table341011[[#This Row],[  80-84]]</f>
        <v>-375</v>
      </c>
      <c r="S9" s="5">
        <f>Table341011121318141516[[#This Row],[  85-89]]-Table341011[[#This Row],[  85-89]]</f>
        <v>-44</v>
      </c>
      <c r="T9" s="5">
        <f>Table341011121318141516[[#This Row],[  90+]]-Table341011[[#This Row],[  90+]]</f>
        <v>11</v>
      </c>
    </row>
    <row r="10" spans="1:20" x14ac:dyDescent="0.2">
      <c r="A10" s="9" t="s">
        <v>3</v>
      </c>
      <c r="B10" s="6" t="s">
        <v>23</v>
      </c>
      <c r="C10" s="5">
        <f>Table341011121318141516[[#This Row],[Total]]-Table341011[[#This Row],[Total]]</f>
        <v>24840</v>
      </c>
      <c r="D10" s="38">
        <f>Table341011121318141516[[#This Row],[  5-11]]-Table341011[[#This Row],[  5-11]]</f>
        <v>24170.898442275669</v>
      </c>
      <c r="E10" s="38">
        <f>Table341011121318141516[[#This Row],[  12-17]]-Table341011[[#This Row],[  12-17]]</f>
        <v>1361.7480027824022</v>
      </c>
      <c r="F10" s="38">
        <f>Table341011121318141516[[#This Row],[  18-24]]-Table341011[[#This Row],[  18-24]]</f>
        <v>-6543.6464450580715</v>
      </c>
      <c r="G10" s="5">
        <f>Table341011121318141516[[#This Row],[  25-29 ]]-Table341011[[#This Row],[  25-29 ]]</f>
        <v>663</v>
      </c>
      <c r="H10" s="5">
        <f>Table341011121318141516[[#This Row],[  30-34]]-Table341011[[#This Row],[  30-34]]</f>
        <v>518</v>
      </c>
      <c r="I10" s="5">
        <f>Table341011121318141516[[#This Row],[  35-39]]-Table341011[[#This Row],[  35-39]]</f>
        <v>517</v>
      </c>
      <c r="J10" s="5">
        <f>Table341011121318141516[[#This Row],[  40-44]]-Table341011[[#This Row],[  40-44]]</f>
        <v>1170</v>
      </c>
      <c r="K10" s="5">
        <f>Table341011121318141516[[#This Row],[  45-49 ]]-Table341011[[#This Row],[  45-49 ]]</f>
        <v>1932</v>
      </c>
      <c r="L10" s="5">
        <f>Table341011121318141516[[#This Row],[  50-54]]-Table341011[[#This Row],[  50-54]]</f>
        <v>612</v>
      </c>
      <c r="M10" s="5">
        <f>Table341011121318141516[[#This Row],[  55-59]]-Table341011[[#This Row],[  55-59]]</f>
        <v>1158</v>
      </c>
      <c r="N10" s="5">
        <f>Table341011121318141516[[#This Row],[  60-64]]-Table341011[[#This Row],[  60-64]]</f>
        <v>183</v>
      </c>
      <c r="O10" s="5">
        <f>Table341011121318141516[[#This Row],[  65-69]]-Table341011[[#This Row],[  65-69]]</f>
        <v>-102</v>
      </c>
      <c r="P10" s="5">
        <f>Table341011121318141516[[#This Row],[  70-74]]-Table341011[[#This Row],[  70-74]]</f>
        <v>113</v>
      </c>
      <c r="Q10" s="5">
        <f>Table341011121318141516[[#This Row],[  75-79]]-Table341011[[#This Row],[  75-79]]</f>
        <v>-897</v>
      </c>
      <c r="R10" s="5">
        <f>Table341011121318141516[[#This Row],[  80-84]]-Table341011[[#This Row],[  80-84]]</f>
        <v>-203</v>
      </c>
      <c r="S10" s="5">
        <f>Table341011121318141516[[#This Row],[  85-89]]-Table341011[[#This Row],[  85-89]]</f>
        <v>37</v>
      </c>
      <c r="T10" s="5">
        <f>Table341011121318141516[[#This Row],[  90+]]-Table341011[[#This Row],[  90+]]</f>
        <v>150</v>
      </c>
    </row>
    <row r="11" spans="1:20" x14ac:dyDescent="0.2">
      <c r="A11" s="9" t="s">
        <v>4</v>
      </c>
      <c r="B11" s="6" t="s">
        <v>22</v>
      </c>
      <c r="C11" s="5">
        <f>Table341011121318141516[[#This Row],[Total]]-Table341011[[#This Row],[Total]]</f>
        <v>33731</v>
      </c>
      <c r="D11" s="38">
        <f>Table341011121318141516[[#This Row],[  5-11]]-Table341011[[#This Row],[  5-11]]</f>
        <v>29018.083834054509</v>
      </c>
      <c r="E11" s="38">
        <f>Table341011121318141516[[#This Row],[  12-17]]-Table341011[[#This Row],[  12-17]]</f>
        <v>3736.8196583475146</v>
      </c>
      <c r="F11" s="38">
        <f>Table341011121318141516[[#This Row],[  18-24]]-Table341011[[#This Row],[  18-24]]</f>
        <v>-9633.903492402027</v>
      </c>
      <c r="G11" s="5">
        <f>Table341011121318141516[[#This Row],[  25-29 ]]-Table341011[[#This Row],[  25-29 ]]</f>
        <v>2021</v>
      </c>
      <c r="H11" s="5">
        <f>Table341011121318141516[[#This Row],[  30-34]]-Table341011[[#This Row],[  30-34]]</f>
        <v>532</v>
      </c>
      <c r="I11" s="5">
        <f>Table341011121318141516[[#This Row],[  35-39]]-Table341011[[#This Row],[  35-39]]</f>
        <v>1245</v>
      </c>
      <c r="J11" s="5">
        <f>Table341011121318141516[[#This Row],[  40-44]]-Table341011[[#This Row],[  40-44]]</f>
        <v>1101</v>
      </c>
      <c r="K11" s="5">
        <f>Table341011121318141516[[#This Row],[  45-49 ]]-Table341011[[#This Row],[  45-49 ]]</f>
        <v>1881</v>
      </c>
      <c r="L11" s="5">
        <f>Table341011121318141516[[#This Row],[  50-54]]-Table341011[[#This Row],[  50-54]]</f>
        <v>994</v>
      </c>
      <c r="M11" s="5">
        <f>Table341011121318141516[[#This Row],[  55-59]]-Table341011[[#This Row],[  55-59]]</f>
        <v>1180</v>
      </c>
      <c r="N11" s="5">
        <f>Table341011121318141516[[#This Row],[  60-64]]-Table341011[[#This Row],[  60-64]]</f>
        <v>213</v>
      </c>
      <c r="O11" s="5">
        <f>Table341011121318141516[[#This Row],[  65-69]]-Table341011[[#This Row],[  65-69]]</f>
        <v>960</v>
      </c>
      <c r="P11" s="5">
        <f>Table341011121318141516[[#This Row],[  70-74]]-Table341011[[#This Row],[  70-74]]</f>
        <v>585</v>
      </c>
      <c r="Q11" s="5">
        <f>Table341011121318141516[[#This Row],[  75-79]]-Table341011[[#This Row],[  75-79]]</f>
        <v>-282</v>
      </c>
      <c r="R11" s="5">
        <f>Table341011121318141516[[#This Row],[  80-84]]-Table341011[[#This Row],[  80-84]]</f>
        <v>-122</v>
      </c>
      <c r="S11" s="5">
        <f>Table341011121318141516[[#This Row],[  85-89]]-Table341011[[#This Row],[  85-89]]</f>
        <v>211</v>
      </c>
      <c r="T11" s="5">
        <f>Table341011121318141516[[#This Row],[  90+]]-Table341011[[#This Row],[  90+]]</f>
        <v>91</v>
      </c>
    </row>
    <row r="12" spans="1:20" x14ac:dyDescent="0.2">
      <c r="A12" s="9" t="s">
        <v>4</v>
      </c>
      <c r="B12" s="6" t="s">
        <v>0</v>
      </c>
      <c r="C12" s="5">
        <f>Table341011121318141516[[#This Row],[Total]]-Table341011[[#This Row],[Total]]</f>
        <v>16669</v>
      </c>
      <c r="D12" s="38">
        <f>Table341011121318141516[[#This Row],[  5-11]]-Table341011[[#This Row],[  5-11]]</f>
        <v>14211.807116329219</v>
      </c>
      <c r="E12" s="38">
        <f>Table341011121318141516[[#This Row],[  12-17]]-Table341011[[#This Row],[  12-17]]</f>
        <v>1585.2615310890142</v>
      </c>
      <c r="F12" s="38">
        <f>Table341011121318141516[[#This Row],[  18-24]]-Table341011[[#This Row],[  18-24]]</f>
        <v>-4061.0686474182348</v>
      </c>
      <c r="G12" s="5">
        <f>Table341011121318141516[[#This Row],[  25-29 ]]-Table341011[[#This Row],[  25-29 ]]</f>
        <v>1123</v>
      </c>
      <c r="H12" s="5">
        <f>Table341011121318141516[[#This Row],[  30-34]]-Table341011[[#This Row],[  30-34]]</f>
        <v>214</v>
      </c>
      <c r="I12" s="5">
        <f>Table341011121318141516[[#This Row],[  35-39]]-Table341011[[#This Row],[  35-39]]</f>
        <v>626</v>
      </c>
      <c r="J12" s="5">
        <f>Table341011121318141516[[#This Row],[  40-44]]-Table341011[[#This Row],[  40-44]]</f>
        <v>617</v>
      </c>
      <c r="K12" s="5">
        <f>Table341011121318141516[[#This Row],[  45-49 ]]-Table341011[[#This Row],[  45-49 ]]</f>
        <v>870</v>
      </c>
      <c r="L12" s="5">
        <f>Table341011121318141516[[#This Row],[  50-54]]-Table341011[[#This Row],[  50-54]]</f>
        <v>511</v>
      </c>
      <c r="M12" s="5">
        <f>Table341011121318141516[[#This Row],[  55-59]]-Table341011[[#This Row],[  55-59]]</f>
        <v>543</v>
      </c>
      <c r="N12" s="5">
        <f>Table341011121318141516[[#This Row],[  60-64]]-Table341011[[#This Row],[  60-64]]</f>
        <v>-42</v>
      </c>
      <c r="O12" s="5">
        <f>Table341011121318141516[[#This Row],[  65-69]]-Table341011[[#This Row],[  65-69]]</f>
        <v>408</v>
      </c>
      <c r="P12" s="5">
        <f>Table341011121318141516[[#This Row],[  70-74]]-Table341011[[#This Row],[  70-74]]</f>
        <v>331</v>
      </c>
      <c r="Q12" s="5">
        <f>Table341011121318141516[[#This Row],[  75-79]]-Table341011[[#This Row],[  75-79]]</f>
        <v>-203</v>
      </c>
      <c r="R12" s="5">
        <f>Table341011121318141516[[#This Row],[  80-84]]-Table341011[[#This Row],[  80-84]]</f>
        <v>-116</v>
      </c>
      <c r="S12" s="5">
        <f>Table341011121318141516[[#This Row],[  85-89]]-Table341011[[#This Row],[  85-89]]</f>
        <v>72</v>
      </c>
      <c r="T12" s="5">
        <f>Table341011121318141516[[#This Row],[  90+]]-Table341011[[#This Row],[  90+]]</f>
        <v>-21</v>
      </c>
    </row>
    <row r="13" spans="1:20" x14ac:dyDescent="0.2">
      <c r="A13" s="9" t="s">
        <v>4</v>
      </c>
      <c r="B13" s="6" t="s">
        <v>23</v>
      </c>
      <c r="C13" s="5">
        <f>Table341011121318141516[[#This Row],[Total]]-Table341011[[#This Row],[Total]]</f>
        <v>17062</v>
      </c>
      <c r="D13" s="38">
        <f>Table341011121318141516[[#This Row],[  5-11]]-Table341011[[#This Row],[  5-11]]</f>
        <v>14806.700364663477</v>
      </c>
      <c r="E13" s="38">
        <f>Table341011121318141516[[#This Row],[  12-17]]-Table341011[[#This Row],[  12-17]]</f>
        <v>2150.6543917708295</v>
      </c>
      <c r="F13" s="38">
        <f>Table341011121318141516[[#This Row],[  18-24]]-Table341011[[#This Row],[  18-24]]</f>
        <v>-5572.3547564343062</v>
      </c>
      <c r="G13" s="5">
        <f>Table341011121318141516[[#This Row],[  25-29 ]]-Table341011[[#This Row],[  25-29 ]]</f>
        <v>898</v>
      </c>
      <c r="H13" s="5">
        <f>Table341011121318141516[[#This Row],[  30-34]]-Table341011[[#This Row],[  30-34]]</f>
        <v>318</v>
      </c>
      <c r="I13" s="5">
        <f>Table341011121318141516[[#This Row],[  35-39]]-Table341011[[#This Row],[  35-39]]</f>
        <v>619</v>
      </c>
      <c r="J13" s="5">
        <f>Table341011121318141516[[#This Row],[  40-44]]-Table341011[[#This Row],[  40-44]]</f>
        <v>484</v>
      </c>
      <c r="K13" s="5">
        <f>Table341011121318141516[[#This Row],[  45-49 ]]-Table341011[[#This Row],[  45-49 ]]</f>
        <v>1011</v>
      </c>
      <c r="L13" s="5">
        <f>Table341011121318141516[[#This Row],[  50-54]]-Table341011[[#This Row],[  50-54]]</f>
        <v>483</v>
      </c>
      <c r="M13" s="5">
        <f>Table341011121318141516[[#This Row],[  55-59]]-Table341011[[#This Row],[  55-59]]</f>
        <v>637</v>
      </c>
      <c r="N13" s="5">
        <f>Table341011121318141516[[#This Row],[  60-64]]-Table341011[[#This Row],[  60-64]]</f>
        <v>255</v>
      </c>
      <c r="O13" s="5">
        <f>Table341011121318141516[[#This Row],[  65-69]]-Table341011[[#This Row],[  65-69]]</f>
        <v>552</v>
      </c>
      <c r="P13" s="5">
        <f>Table341011121318141516[[#This Row],[  70-74]]-Table341011[[#This Row],[  70-74]]</f>
        <v>254</v>
      </c>
      <c r="Q13" s="5">
        <f>Table341011121318141516[[#This Row],[  75-79]]-Table341011[[#This Row],[  75-79]]</f>
        <v>-79</v>
      </c>
      <c r="R13" s="5">
        <f>Table341011121318141516[[#This Row],[  80-84]]-Table341011[[#This Row],[  80-84]]</f>
        <v>-6</v>
      </c>
      <c r="S13" s="5">
        <f>Table341011121318141516[[#This Row],[  85-89]]-Table341011[[#This Row],[  85-89]]</f>
        <v>139</v>
      </c>
      <c r="T13" s="5">
        <f>Table341011121318141516[[#This Row],[  90+]]-Table341011[[#This Row],[  90+]]</f>
        <v>112</v>
      </c>
    </row>
    <row r="14" spans="1:20" x14ac:dyDescent="0.2">
      <c r="A14" s="9" t="s">
        <v>5</v>
      </c>
      <c r="B14" s="6" t="s">
        <v>22</v>
      </c>
      <c r="C14" s="5">
        <f>Table341011121318141516[[#This Row],[Total]]-Table341011[[#This Row],[Total]]</f>
        <v>80488</v>
      </c>
      <c r="D14" s="38">
        <f>Table341011121318141516[[#This Row],[  5-11]]-Table341011[[#This Row],[  5-11]]</f>
        <v>61850.08346492218</v>
      </c>
      <c r="E14" s="38">
        <f>Table341011121318141516[[#This Row],[  12-17]]-Table341011[[#This Row],[  12-17]]</f>
        <v>4559.1130160162356</v>
      </c>
      <c r="F14" s="38">
        <f>Table341011121318141516[[#This Row],[  18-24]]-Table341011[[#This Row],[  18-24]]</f>
        <v>-8518.1964809384153</v>
      </c>
      <c r="G14" s="5">
        <f>Table341011121318141516[[#This Row],[  25-29 ]]-Table341011[[#This Row],[  25-29 ]]</f>
        <v>5940</v>
      </c>
      <c r="H14" s="5">
        <f>Table341011121318141516[[#This Row],[  30-34]]-Table341011[[#This Row],[  30-34]]</f>
        <v>1323</v>
      </c>
      <c r="I14" s="5">
        <f>Table341011121318141516[[#This Row],[  35-39]]-Table341011[[#This Row],[  35-39]]</f>
        <v>1412</v>
      </c>
      <c r="J14" s="5">
        <f>Table341011121318141516[[#This Row],[  40-44]]-Table341011[[#This Row],[  40-44]]</f>
        <v>554</v>
      </c>
      <c r="K14" s="5">
        <f>Table341011121318141516[[#This Row],[  45-49 ]]-Table341011[[#This Row],[  45-49 ]]</f>
        <v>3664</v>
      </c>
      <c r="L14" s="5">
        <f>Table341011121318141516[[#This Row],[  50-54]]-Table341011[[#This Row],[  50-54]]</f>
        <v>2975</v>
      </c>
      <c r="M14" s="5">
        <f>Table341011121318141516[[#This Row],[  55-59]]-Table341011[[#This Row],[  55-59]]</f>
        <v>3543</v>
      </c>
      <c r="N14" s="5">
        <f>Table341011121318141516[[#This Row],[  60-64]]-Table341011[[#This Row],[  60-64]]</f>
        <v>1296</v>
      </c>
      <c r="O14" s="5">
        <f>Table341011121318141516[[#This Row],[  65-69]]-Table341011[[#This Row],[  65-69]]</f>
        <v>976</v>
      </c>
      <c r="P14" s="5">
        <f>Table341011121318141516[[#This Row],[  70-74]]-Table341011[[#This Row],[  70-74]]</f>
        <v>626</v>
      </c>
      <c r="Q14" s="5">
        <f>Table341011121318141516[[#This Row],[  75-79]]-Table341011[[#This Row],[  75-79]]</f>
        <v>-36</v>
      </c>
      <c r="R14" s="5">
        <f>Table341011121318141516[[#This Row],[  80-84]]-Table341011[[#This Row],[  80-84]]</f>
        <v>129</v>
      </c>
      <c r="S14" s="5">
        <f>Table341011121318141516[[#This Row],[  85-89]]-Table341011[[#This Row],[  85-89]]</f>
        <v>-60</v>
      </c>
      <c r="T14" s="5">
        <f>Table341011121318141516[[#This Row],[  90+]]-Table341011[[#This Row],[  90+]]</f>
        <v>255</v>
      </c>
    </row>
    <row r="15" spans="1:20" x14ac:dyDescent="0.2">
      <c r="A15" s="9" t="s">
        <v>5</v>
      </c>
      <c r="B15" s="6" t="s">
        <v>0</v>
      </c>
      <c r="C15" s="5">
        <f>Table341011121318141516[[#This Row],[Total]]-Table341011[[#This Row],[Total]]</f>
        <v>41199</v>
      </c>
      <c r="D15" s="38">
        <f>Table341011121318141516[[#This Row],[  5-11]]-Table341011[[#This Row],[  5-11]]</f>
        <v>32308.478135857193</v>
      </c>
      <c r="E15" s="38">
        <f>Table341011121318141516[[#This Row],[  12-17]]-Table341011[[#This Row],[  12-17]]</f>
        <v>2744.8210534723075</v>
      </c>
      <c r="F15" s="38">
        <f>Table341011121318141516[[#This Row],[  18-24]]-Table341011[[#This Row],[  18-24]]</f>
        <v>-4263.2991893295002</v>
      </c>
      <c r="G15" s="5">
        <f>Table341011121318141516[[#This Row],[  25-29 ]]-Table341011[[#This Row],[  25-29 ]]</f>
        <v>3098</v>
      </c>
      <c r="H15" s="5">
        <f>Table341011121318141516[[#This Row],[  30-34]]-Table341011[[#This Row],[  30-34]]</f>
        <v>521</v>
      </c>
      <c r="I15" s="5">
        <f>Table341011121318141516[[#This Row],[  35-39]]-Table341011[[#This Row],[  35-39]]</f>
        <v>378</v>
      </c>
      <c r="J15" s="5">
        <f>Table341011121318141516[[#This Row],[  40-44]]-Table341011[[#This Row],[  40-44]]</f>
        <v>144</v>
      </c>
      <c r="K15" s="5">
        <f>Table341011121318141516[[#This Row],[  45-49 ]]-Table341011[[#This Row],[  45-49 ]]</f>
        <v>1804</v>
      </c>
      <c r="L15" s="5">
        <f>Table341011121318141516[[#This Row],[  50-54]]-Table341011[[#This Row],[  50-54]]</f>
        <v>1435</v>
      </c>
      <c r="M15" s="5">
        <f>Table341011121318141516[[#This Row],[  55-59]]-Table341011[[#This Row],[  55-59]]</f>
        <v>1655</v>
      </c>
      <c r="N15" s="5">
        <f>Table341011121318141516[[#This Row],[  60-64]]-Table341011[[#This Row],[  60-64]]</f>
        <v>561</v>
      </c>
      <c r="O15" s="5">
        <f>Table341011121318141516[[#This Row],[  65-69]]-Table341011[[#This Row],[  65-69]]</f>
        <v>444</v>
      </c>
      <c r="P15" s="5">
        <f>Table341011121318141516[[#This Row],[  70-74]]-Table341011[[#This Row],[  70-74]]</f>
        <v>344</v>
      </c>
      <c r="Q15" s="5">
        <f>Table341011121318141516[[#This Row],[  75-79]]-Table341011[[#This Row],[  75-79]]</f>
        <v>-42</v>
      </c>
      <c r="R15" s="5">
        <f>Table341011121318141516[[#This Row],[  80-84]]-Table341011[[#This Row],[  80-84]]</f>
        <v>67</v>
      </c>
      <c r="S15" s="5">
        <f>Table341011121318141516[[#This Row],[  85-89]]-Table341011[[#This Row],[  85-89]]</f>
        <v>-110</v>
      </c>
      <c r="T15" s="5">
        <f>Table341011121318141516[[#This Row],[  90+]]-Table341011[[#This Row],[  90+]]</f>
        <v>110</v>
      </c>
    </row>
    <row r="16" spans="1:20" x14ac:dyDescent="0.2">
      <c r="A16" s="9" t="s">
        <v>5</v>
      </c>
      <c r="B16" s="6" t="s">
        <v>23</v>
      </c>
      <c r="C16" s="5">
        <f>Table341011121318141516[[#This Row],[Total]]-Table341011[[#This Row],[Total]]</f>
        <v>39289</v>
      </c>
      <c r="D16" s="38">
        <f>Table341011121318141516[[#This Row],[  5-11]]-Table341011[[#This Row],[  5-11]]</f>
        <v>29540.020425370458</v>
      </c>
      <c r="E16" s="38">
        <f>Table341011121318141516[[#This Row],[  12-17]]-Table341011[[#This Row],[  12-17]]</f>
        <v>1816.6303830020443</v>
      </c>
      <c r="F16" s="38">
        <f>Table341011121318141516[[#This Row],[  18-24]]-Table341011[[#This Row],[  18-24]]</f>
        <v>-4255.6508083725021</v>
      </c>
      <c r="G16" s="5">
        <f>Table341011121318141516[[#This Row],[  25-29 ]]-Table341011[[#This Row],[  25-29 ]]</f>
        <v>2842</v>
      </c>
      <c r="H16" s="5">
        <f>Table341011121318141516[[#This Row],[  30-34]]-Table341011[[#This Row],[  30-34]]</f>
        <v>802</v>
      </c>
      <c r="I16" s="5">
        <f>Table341011121318141516[[#This Row],[  35-39]]-Table341011[[#This Row],[  35-39]]</f>
        <v>1034</v>
      </c>
      <c r="J16" s="5">
        <f>Table341011121318141516[[#This Row],[  40-44]]-Table341011[[#This Row],[  40-44]]</f>
        <v>410</v>
      </c>
      <c r="K16" s="5">
        <f>Table341011121318141516[[#This Row],[  45-49 ]]-Table341011[[#This Row],[  45-49 ]]</f>
        <v>1860</v>
      </c>
      <c r="L16" s="5">
        <f>Table341011121318141516[[#This Row],[  50-54]]-Table341011[[#This Row],[  50-54]]</f>
        <v>1540</v>
      </c>
      <c r="M16" s="5">
        <f>Table341011121318141516[[#This Row],[  55-59]]-Table341011[[#This Row],[  55-59]]</f>
        <v>1888</v>
      </c>
      <c r="N16" s="5">
        <f>Table341011121318141516[[#This Row],[  60-64]]-Table341011[[#This Row],[  60-64]]</f>
        <v>735</v>
      </c>
      <c r="O16" s="5">
        <f>Table341011121318141516[[#This Row],[  65-69]]-Table341011[[#This Row],[  65-69]]</f>
        <v>532</v>
      </c>
      <c r="P16" s="5">
        <f>Table341011121318141516[[#This Row],[  70-74]]-Table341011[[#This Row],[  70-74]]</f>
        <v>282</v>
      </c>
      <c r="Q16" s="5">
        <f>Table341011121318141516[[#This Row],[  75-79]]-Table341011[[#This Row],[  75-79]]</f>
        <v>6</v>
      </c>
      <c r="R16" s="5">
        <f>Table341011121318141516[[#This Row],[  80-84]]-Table341011[[#This Row],[  80-84]]</f>
        <v>62</v>
      </c>
      <c r="S16" s="5">
        <f>Table341011121318141516[[#This Row],[  85-89]]-Table341011[[#This Row],[  85-89]]</f>
        <v>50</v>
      </c>
      <c r="T16" s="5">
        <f>Table341011121318141516[[#This Row],[  90+]]-Table341011[[#This Row],[  90+]]</f>
        <v>145</v>
      </c>
    </row>
    <row r="17" spans="1:20" x14ac:dyDescent="0.2">
      <c r="A17" s="12" t="s">
        <v>6</v>
      </c>
      <c r="B17" s="6" t="s">
        <v>22</v>
      </c>
      <c r="C17" s="5">
        <f>Table341011121318141516[[#This Row],[Total]]-Table341011[[#This Row],[Total]]</f>
        <v>27314</v>
      </c>
      <c r="D17" s="38">
        <f>Table341011121318141516[[#This Row],[  5-11]]-Table341011[[#This Row],[  5-11]]</f>
        <v>17914.452433197301</v>
      </c>
      <c r="E17" s="38">
        <f>Table341011121318141516[[#This Row],[  12-17]]-Table341011[[#This Row],[  12-17]]</f>
        <v>927.10795070032509</v>
      </c>
      <c r="F17" s="38">
        <f>Table341011121318141516[[#This Row],[  18-24]]-Table341011[[#This Row],[  18-24]]</f>
        <v>-869.56038389762762</v>
      </c>
      <c r="G17" s="5">
        <f>Table341011121318141516[[#This Row],[  25-29 ]]-Table341011[[#This Row],[  25-29 ]]</f>
        <v>590</v>
      </c>
      <c r="H17" s="5">
        <f>Table341011121318141516[[#This Row],[  30-34]]-Table341011[[#This Row],[  30-34]]</f>
        <v>-74</v>
      </c>
      <c r="I17" s="5">
        <f>Table341011121318141516[[#This Row],[  35-39]]-Table341011[[#This Row],[  35-39]]</f>
        <v>252</v>
      </c>
      <c r="J17" s="5">
        <f>Table341011121318141516[[#This Row],[  40-44]]-Table341011[[#This Row],[  40-44]]</f>
        <v>939</v>
      </c>
      <c r="K17" s="5">
        <f>Table341011121318141516[[#This Row],[  45-49 ]]-Table341011[[#This Row],[  45-49 ]]</f>
        <v>1785</v>
      </c>
      <c r="L17" s="5">
        <f>Table341011121318141516[[#This Row],[  50-54]]-Table341011[[#This Row],[  50-54]]</f>
        <v>1286</v>
      </c>
      <c r="M17" s="5">
        <f>Table341011121318141516[[#This Row],[  55-59]]-Table341011[[#This Row],[  55-59]]</f>
        <v>1717</v>
      </c>
      <c r="N17" s="5">
        <f>Table341011121318141516[[#This Row],[  60-64]]-Table341011[[#This Row],[  60-64]]</f>
        <v>765</v>
      </c>
      <c r="O17" s="5">
        <f>Table341011121318141516[[#This Row],[  65-69]]-Table341011[[#This Row],[  65-69]]</f>
        <v>950</v>
      </c>
      <c r="P17" s="5">
        <f>Table341011121318141516[[#This Row],[  70-74]]-Table341011[[#This Row],[  70-74]]</f>
        <v>840</v>
      </c>
      <c r="Q17" s="5">
        <f>Table341011121318141516[[#This Row],[  75-79]]-Table341011[[#This Row],[  75-79]]</f>
        <v>15</v>
      </c>
      <c r="R17" s="5">
        <f>Table341011121318141516[[#This Row],[  80-84]]-Table341011[[#This Row],[  80-84]]</f>
        <v>29</v>
      </c>
      <c r="S17" s="5">
        <f>Table341011121318141516[[#This Row],[  85-89]]-Table341011[[#This Row],[  85-89]]</f>
        <v>164</v>
      </c>
      <c r="T17" s="5">
        <f>Table341011121318141516[[#This Row],[  90+]]-Table341011[[#This Row],[  90+]]</f>
        <v>84</v>
      </c>
    </row>
    <row r="18" spans="1:20" x14ac:dyDescent="0.2">
      <c r="A18" s="9" t="s">
        <v>6</v>
      </c>
      <c r="B18" s="6" t="s">
        <v>0</v>
      </c>
      <c r="C18" s="5">
        <f>Table341011121318141516[[#This Row],[Total]]-Table341011[[#This Row],[Total]]</f>
        <v>12277</v>
      </c>
      <c r="D18" s="38">
        <f>Table341011121318141516[[#This Row],[  5-11]]-Table341011[[#This Row],[  5-11]]</f>
        <v>9081.4291362166041</v>
      </c>
      <c r="E18" s="38">
        <f>Table341011121318141516[[#This Row],[  12-17]]-Table341011[[#This Row],[  12-17]]</f>
        <v>643.19535961023939</v>
      </c>
      <c r="F18" s="38">
        <f>Table341011121318141516[[#This Row],[  18-24]]-Table341011[[#This Row],[  18-24]]</f>
        <v>-893.6244958268444</v>
      </c>
      <c r="G18" s="5">
        <f>Table341011121318141516[[#This Row],[  25-29 ]]-Table341011[[#This Row],[  25-29 ]]</f>
        <v>23</v>
      </c>
      <c r="H18" s="5">
        <f>Table341011121318141516[[#This Row],[  30-34]]-Table341011[[#This Row],[  30-34]]</f>
        <v>-382</v>
      </c>
      <c r="I18" s="5">
        <f>Table341011121318141516[[#This Row],[  35-39]]-Table341011[[#This Row],[  35-39]]</f>
        <v>-74</v>
      </c>
      <c r="J18" s="5">
        <f>Table341011121318141516[[#This Row],[  40-44]]-Table341011[[#This Row],[  40-44]]</f>
        <v>207</v>
      </c>
      <c r="K18" s="5">
        <f>Table341011121318141516[[#This Row],[  45-49 ]]-Table341011[[#This Row],[  45-49 ]]</f>
        <v>822</v>
      </c>
      <c r="L18" s="5">
        <f>Table341011121318141516[[#This Row],[  50-54]]-Table341011[[#This Row],[  50-54]]</f>
        <v>675</v>
      </c>
      <c r="M18" s="5">
        <f>Table341011121318141516[[#This Row],[  55-59]]-Table341011[[#This Row],[  55-59]]</f>
        <v>835</v>
      </c>
      <c r="N18" s="5">
        <f>Table341011121318141516[[#This Row],[  60-64]]-Table341011[[#This Row],[  60-64]]</f>
        <v>364</v>
      </c>
      <c r="O18" s="5">
        <f>Table341011121318141516[[#This Row],[  65-69]]-Table341011[[#This Row],[  65-69]]</f>
        <v>431</v>
      </c>
      <c r="P18" s="5">
        <f>Table341011121318141516[[#This Row],[  70-74]]-Table341011[[#This Row],[  70-74]]</f>
        <v>405</v>
      </c>
      <c r="Q18" s="5">
        <f>Table341011121318141516[[#This Row],[  75-79]]-Table341011[[#This Row],[  75-79]]</f>
        <v>52</v>
      </c>
      <c r="R18" s="5">
        <f>Table341011121318141516[[#This Row],[  80-84]]-Table341011[[#This Row],[  80-84]]</f>
        <v>10</v>
      </c>
      <c r="S18" s="5">
        <f>Table341011121318141516[[#This Row],[  85-89]]-Table341011[[#This Row],[  85-89]]</f>
        <v>55</v>
      </c>
      <c r="T18" s="5">
        <f>Table341011121318141516[[#This Row],[  90+]]-Table341011[[#This Row],[  90+]]</f>
        <v>23</v>
      </c>
    </row>
    <row r="19" spans="1:20" x14ac:dyDescent="0.2">
      <c r="A19" s="9" t="s">
        <v>6</v>
      </c>
      <c r="B19" s="6" t="s">
        <v>23</v>
      </c>
      <c r="C19" s="5">
        <f>Table341011121318141516[[#This Row],[Total]]-Table341011[[#This Row],[Total]]</f>
        <v>15037</v>
      </c>
      <c r="D19" s="38">
        <f>Table341011121318141516[[#This Row],[  5-11]]-Table341011[[#This Row],[  5-11]]</f>
        <v>8832.9149048291565</v>
      </c>
      <c r="E19" s="38">
        <f>Table341011121318141516[[#This Row],[  12-17]]-Table341011[[#This Row],[  12-17]]</f>
        <v>284.00118041356563</v>
      </c>
      <c r="F19" s="38">
        <f>Table341011121318141516[[#This Row],[  18-24]]-Table341011[[#This Row],[  18-24]]</f>
        <v>24.083914757277853</v>
      </c>
      <c r="G19" s="5">
        <f>Table341011121318141516[[#This Row],[  25-29 ]]-Table341011[[#This Row],[  25-29 ]]</f>
        <v>567</v>
      </c>
      <c r="H19" s="5">
        <f>Table341011121318141516[[#This Row],[  30-34]]-Table341011[[#This Row],[  30-34]]</f>
        <v>308</v>
      </c>
      <c r="I19" s="5">
        <f>Table341011121318141516[[#This Row],[  35-39]]-Table341011[[#This Row],[  35-39]]</f>
        <v>326</v>
      </c>
      <c r="J19" s="5">
        <f>Table341011121318141516[[#This Row],[  40-44]]-Table341011[[#This Row],[  40-44]]</f>
        <v>732</v>
      </c>
      <c r="K19" s="5">
        <f>Table341011121318141516[[#This Row],[  45-49 ]]-Table341011[[#This Row],[  45-49 ]]</f>
        <v>963</v>
      </c>
      <c r="L19" s="5">
        <f>Table341011121318141516[[#This Row],[  50-54]]-Table341011[[#This Row],[  50-54]]</f>
        <v>611</v>
      </c>
      <c r="M19" s="5">
        <f>Table341011121318141516[[#This Row],[  55-59]]-Table341011[[#This Row],[  55-59]]</f>
        <v>882</v>
      </c>
      <c r="N19" s="5">
        <f>Table341011121318141516[[#This Row],[  60-64]]-Table341011[[#This Row],[  60-64]]</f>
        <v>401</v>
      </c>
      <c r="O19" s="5">
        <f>Table341011121318141516[[#This Row],[  65-69]]-Table341011[[#This Row],[  65-69]]</f>
        <v>519</v>
      </c>
      <c r="P19" s="5">
        <f>Table341011121318141516[[#This Row],[  70-74]]-Table341011[[#This Row],[  70-74]]</f>
        <v>435</v>
      </c>
      <c r="Q19" s="5">
        <f>Table341011121318141516[[#This Row],[  75-79]]-Table341011[[#This Row],[  75-79]]</f>
        <v>-37</v>
      </c>
      <c r="R19" s="5">
        <f>Table341011121318141516[[#This Row],[  80-84]]-Table341011[[#This Row],[  80-84]]</f>
        <v>19</v>
      </c>
      <c r="S19" s="5">
        <f>Table341011121318141516[[#This Row],[  85-89]]-Table341011[[#This Row],[  85-89]]</f>
        <v>109</v>
      </c>
      <c r="T19" s="5">
        <f>Table341011121318141516[[#This Row],[  90+]]-Table341011[[#This Row],[  90+]]</f>
        <v>61</v>
      </c>
    </row>
    <row r="20" spans="1:20" x14ac:dyDescent="0.2">
      <c r="A20" s="9" t="s">
        <v>7</v>
      </c>
      <c r="B20" s="6" t="s">
        <v>22</v>
      </c>
      <c r="C20" s="5">
        <f>Table341011121318141516[[#This Row],[Total]]-Table341011[[#This Row],[Total]]</f>
        <v>20048</v>
      </c>
      <c r="D20" s="38">
        <f>Table341011121318141516[[#This Row],[  5-11]]-Table341011[[#This Row],[  5-11]]</f>
        <v>13008.374566782193</v>
      </c>
      <c r="E20" s="38">
        <f>Table341011121318141516[[#This Row],[  12-17]]-Table341011[[#This Row],[  12-17]]</f>
        <v>681.7123433750985</v>
      </c>
      <c r="F20" s="38">
        <f>Table341011121318141516[[#This Row],[  18-24]]-Table341011[[#This Row],[  18-24]]</f>
        <v>-1444.0869101572916</v>
      </c>
      <c r="G20" s="5">
        <f>Table341011121318141516[[#This Row],[  25-29 ]]-Table341011[[#This Row],[  25-29 ]]</f>
        <v>1310</v>
      </c>
      <c r="H20" s="5">
        <f>Table341011121318141516[[#This Row],[  30-34]]-Table341011[[#This Row],[  30-34]]</f>
        <v>813</v>
      </c>
      <c r="I20" s="5">
        <f>Table341011121318141516[[#This Row],[  35-39]]-Table341011[[#This Row],[  35-39]]</f>
        <v>602</v>
      </c>
      <c r="J20" s="5">
        <f>Table341011121318141516[[#This Row],[  40-44]]-Table341011[[#This Row],[  40-44]]</f>
        <v>542</v>
      </c>
      <c r="K20" s="5">
        <f>Table341011121318141516[[#This Row],[  45-49 ]]-Table341011[[#This Row],[  45-49 ]]</f>
        <v>1136</v>
      </c>
      <c r="L20" s="5">
        <f>Table341011121318141516[[#This Row],[  50-54]]-Table341011[[#This Row],[  50-54]]</f>
        <v>850</v>
      </c>
      <c r="M20" s="5">
        <f>Table341011121318141516[[#This Row],[  55-59]]-Table341011[[#This Row],[  55-59]]</f>
        <v>995</v>
      </c>
      <c r="N20" s="5">
        <f>Table341011121318141516[[#This Row],[  60-64]]-Table341011[[#This Row],[  60-64]]</f>
        <v>681</v>
      </c>
      <c r="O20" s="5">
        <f>Table341011121318141516[[#This Row],[  65-69]]-Table341011[[#This Row],[  65-69]]</f>
        <v>230</v>
      </c>
      <c r="P20" s="5">
        <f>Table341011121318141516[[#This Row],[  70-74]]-Table341011[[#This Row],[  70-74]]</f>
        <v>594</v>
      </c>
      <c r="Q20" s="5">
        <f>Table341011121318141516[[#This Row],[  75-79]]-Table341011[[#This Row],[  75-79]]</f>
        <v>-42</v>
      </c>
      <c r="R20" s="5">
        <f>Table341011121318141516[[#This Row],[  80-84]]-Table341011[[#This Row],[  80-84]]</f>
        <v>-36</v>
      </c>
      <c r="S20" s="5">
        <f>Table341011121318141516[[#This Row],[  85-89]]-Table341011[[#This Row],[  85-89]]</f>
        <v>81</v>
      </c>
      <c r="T20" s="5">
        <f>Table341011121318141516[[#This Row],[  90+]]-Table341011[[#This Row],[  90+]]</f>
        <v>46</v>
      </c>
    </row>
    <row r="21" spans="1:20" x14ac:dyDescent="0.2">
      <c r="A21" s="9" t="s">
        <v>7</v>
      </c>
      <c r="B21" s="6" t="s">
        <v>0</v>
      </c>
      <c r="C21" s="5">
        <f>Table341011121318141516[[#This Row],[Total]]-Table341011[[#This Row],[Total]]</f>
        <v>10414</v>
      </c>
      <c r="D21" s="38">
        <f>Table341011121318141516[[#This Row],[  5-11]]-Table341011[[#This Row],[  5-11]]</f>
        <v>6820.2836947406249</v>
      </c>
      <c r="E21" s="38">
        <f>Table341011121318141516[[#This Row],[  12-17]]-Table341011[[#This Row],[  12-17]]</f>
        <v>407.86709795934712</v>
      </c>
      <c r="F21" s="38">
        <f>Table341011121318141516[[#This Row],[  18-24]]-Table341011[[#This Row],[  18-24]]</f>
        <v>-833.15079269997204</v>
      </c>
      <c r="G21" s="5">
        <f>Table341011121318141516[[#This Row],[  25-29 ]]-Table341011[[#This Row],[  25-29 ]]</f>
        <v>654</v>
      </c>
      <c r="H21" s="5">
        <f>Table341011121318141516[[#This Row],[  30-34]]-Table341011[[#This Row],[  30-34]]</f>
        <v>543</v>
      </c>
      <c r="I21" s="5">
        <f>Table341011121318141516[[#This Row],[  35-39]]-Table341011[[#This Row],[  35-39]]</f>
        <v>419</v>
      </c>
      <c r="J21" s="5">
        <f>Table341011121318141516[[#This Row],[  40-44]]-Table341011[[#This Row],[  40-44]]</f>
        <v>242</v>
      </c>
      <c r="K21" s="5">
        <f>Table341011121318141516[[#This Row],[  45-49 ]]-Table341011[[#This Row],[  45-49 ]]</f>
        <v>564</v>
      </c>
      <c r="L21" s="5">
        <f>Table341011121318141516[[#This Row],[  50-54]]-Table341011[[#This Row],[  50-54]]</f>
        <v>455</v>
      </c>
      <c r="M21" s="5">
        <f>Table341011121318141516[[#This Row],[  55-59]]-Table341011[[#This Row],[  55-59]]</f>
        <v>426</v>
      </c>
      <c r="N21" s="5">
        <f>Table341011121318141516[[#This Row],[  60-64]]-Table341011[[#This Row],[  60-64]]</f>
        <v>304</v>
      </c>
      <c r="O21" s="5">
        <f>Table341011121318141516[[#This Row],[  65-69]]-Table341011[[#This Row],[  65-69]]</f>
        <v>172</v>
      </c>
      <c r="P21" s="5">
        <f>Table341011121318141516[[#This Row],[  70-74]]-Table341011[[#This Row],[  70-74]]</f>
        <v>290</v>
      </c>
      <c r="Q21" s="5">
        <f>Table341011121318141516[[#This Row],[  75-79]]-Table341011[[#This Row],[  75-79]]</f>
        <v>-63</v>
      </c>
      <c r="R21" s="5">
        <f>Table341011121318141516[[#This Row],[  80-84]]-Table341011[[#This Row],[  80-84]]</f>
        <v>-49</v>
      </c>
      <c r="S21" s="5">
        <f>Table341011121318141516[[#This Row],[  85-89]]-Table341011[[#This Row],[  85-89]]</f>
        <v>62</v>
      </c>
      <c r="T21" s="5">
        <f>Table341011121318141516[[#This Row],[  90+]]-Table341011[[#This Row],[  90+]]</f>
        <v>0</v>
      </c>
    </row>
    <row r="22" spans="1:20" x14ac:dyDescent="0.2">
      <c r="A22" s="9" t="s">
        <v>7</v>
      </c>
      <c r="B22" s="6" t="s">
        <v>23</v>
      </c>
      <c r="C22" s="5">
        <f>Table341011121318141516[[#This Row],[Total]]-Table341011[[#This Row],[Total]]</f>
        <v>9634</v>
      </c>
      <c r="D22" s="38">
        <f>Table341011121318141516[[#This Row],[  5-11]]-Table341011[[#This Row],[  5-11]]</f>
        <v>6187.7476022849442</v>
      </c>
      <c r="E22" s="38">
        <f>Table341011121318141516[[#This Row],[  12-17]]-Table341011[[#This Row],[  12-17]]</f>
        <v>274.34756855884098</v>
      </c>
      <c r="F22" s="38">
        <f>Table341011121318141516[[#This Row],[  18-24]]-Table341011[[#This Row],[  18-24]]</f>
        <v>-611.09517084378422</v>
      </c>
      <c r="G22" s="5">
        <f>Table341011121318141516[[#This Row],[  25-29 ]]-Table341011[[#This Row],[  25-29 ]]</f>
        <v>656</v>
      </c>
      <c r="H22" s="5">
        <f>Table341011121318141516[[#This Row],[  30-34]]-Table341011[[#This Row],[  30-34]]</f>
        <v>270</v>
      </c>
      <c r="I22" s="5">
        <f>Table341011121318141516[[#This Row],[  35-39]]-Table341011[[#This Row],[  35-39]]</f>
        <v>183</v>
      </c>
      <c r="J22" s="5">
        <f>Table341011121318141516[[#This Row],[  40-44]]-Table341011[[#This Row],[  40-44]]</f>
        <v>300</v>
      </c>
      <c r="K22" s="5">
        <f>Table341011121318141516[[#This Row],[  45-49 ]]-Table341011[[#This Row],[  45-49 ]]</f>
        <v>572</v>
      </c>
      <c r="L22" s="5">
        <f>Table341011121318141516[[#This Row],[  50-54]]-Table341011[[#This Row],[  50-54]]</f>
        <v>395</v>
      </c>
      <c r="M22" s="5">
        <f>Table341011121318141516[[#This Row],[  55-59]]-Table341011[[#This Row],[  55-59]]</f>
        <v>569</v>
      </c>
      <c r="N22" s="5">
        <f>Table341011121318141516[[#This Row],[  60-64]]-Table341011[[#This Row],[  60-64]]</f>
        <v>377</v>
      </c>
      <c r="O22" s="5">
        <f>Table341011121318141516[[#This Row],[  65-69]]-Table341011[[#This Row],[  65-69]]</f>
        <v>58</v>
      </c>
      <c r="P22" s="5">
        <f>Table341011121318141516[[#This Row],[  70-74]]-Table341011[[#This Row],[  70-74]]</f>
        <v>304</v>
      </c>
      <c r="Q22" s="5">
        <f>Table341011121318141516[[#This Row],[  75-79]]-Table341011[[#This Row],[  75-79]]</f>
        <v>21</v>
      </c>
      <c r="R22" s="5">
        <f>Table341011121318141516[[#This Row],[  80-84]]-Table341011[[#This Row],[  80-84]]</f>
        <v>13</v>
      </c>
      <c r="S22" s="5">
        <f>Table341011121318141516[[#This Row],[  85-89]]-Table341011[[#This Row],[  85-89]]</f>
        <v>19</v>
      </c>
      <c r="T22" s="5">
        <f>Table341011121318141516[[#This Row],[  90+]]-Table341011[[#This Row],[  90+]]</f>
        <v>46</v>
      </c>
    </row>
    <row r="23" spans="1:20" x14ac:dyDescent="0.2">
      <c r="A23" s="9" t="s">
        <v>8</v>
      </c>
      <c r="B23" s="6" t="s">
        <v>22</v>
      </c>
      <c r="C23" s="5">
        <f>Table341011121318141516[[#This Row],[Total]]-Table341011[[#This Row],[Total]]</f>
        <v>23026</v>
      </c>
      <c r="D23" s="38">
        <f>Table341011121318141516[[#This Row],[  5-11]]-Table341011[[#This Row],[  5-11]]</f>
        <v>12247.052498820827</v>
      </c>
      <c r="E23" s="38">
        <f>Table341011121318141516[[#This Row],[  12-17]]-Table341011[[#This Row],[  12-17]]</f>
        <v>985.16690933699647</v>
      </c>
      <c r="F23" s="38">
        <f>Table341011121318141516[[#This Row],[  18-24]]-Table341011[[#This Row],[  18-24]]</f>
        <v>56.780591842175454</v>
      </c>
      <c r="G23" s="5">
        <f>Table341011121318141516[[#This Row],[  25-29 ]]-Table341011[[#This Row],[  25-29 ]]</f>
        <v>1342</v>
      </c>
      <c r="H23" s="5">
        <f>Table341011121318141516[[#This Row],[  30-34]]-Table341011[[#This Row],[  30-34]]</f>
        <v>1162</v>
      </c>
      <c r="I23" s="5">
        <f>Table341011121318141516[[#This Row],[  35-39]]-Table341011[[#This Row],[  35-39]]</f>
        <v>807</v>
      </c>
      <c r="J23" s="5">
        <f>Table341011121318141516[[#This Row],[  40-44]]-Table341011[[#This Row],[  40-44]]</f>
        <v>1065</v>
      </c>
      <c r="K23" s="5">
        <f>Table341011121318141516[[#This Row],[  45-49 ]]-Table341011[[#This Row],[  45-49 ]]</f>
        <v>1402</v>
      </c>
      <c r="L23" s="5">
        <f>Table341011121318141516[[#This Row],[  50-54]]-Table341011[[#This Row],[  50-54]]</f>
        <v>1021</v>
      </c>
      <c r="M23" s="5">
        <f>Table341011121318141516[[#This Row],[  55-59]]-Table341011[[#This Row],[  55-59]]</f>
        <v>1135</v>
      </c>
      <c r="N23" s="5">
        <f>Table341011121318141516[[#This Row],[  60-64]]-Table341011[[#This Row],[  60-64]]</f>
        <v>615</v>
      </c>
      <c r="O23" s="5">
        <f>Table341011121318141516[[#This Row],[  65-69]]-Table341011[[#This Row],[  65-69]]</f>
        <v>453</v>
      </c>
      <c r="P23" s="5">
        <f>Table341011121318141516[[#This Row],[  70-74]]-Table341011[[#This Row],[  70-74]]</f>
        <v>604</v>
      </c>
      <c r="Q23" s="5">
        <f>Table341011121318141516[[#This Row],[  75-79]]-Table341011[[#This Row],[  75-79]]</f>
        <v>58</v>
      </c>
      <c r="R23" s="5">
        <f>Table341011121318141516[[#This Row],[  80-84]]-Table341011[[#This Row],[  80-84]]</f>
        <v>-25</v>
      </c>
      <c r="S23" s="5">
        <f>Table341011121318141516[[#This Row],[  85-89]]-Table341011[[#This Row],[  85-89]]</f>
        <v>82</v>
      </c>
      <c r="T23" s="5">
        <f>Table341011121318141516[[#This Row],[  90+]]-Table341011[[#This Row],[  90+]]</f>
        <v>16</v>
      </c>
    </row>
    <row r="24" spans="1:20" x14ac:dyDescent="0.2">
      <c r="A24" s="9" t="s">
        <v>8</v>
      </c>
      <c r="B24" s="6" t="s">
        <v>0</v>
      </c>
      <c r="C24" s="5">
        <f>Table341011121318141516[[#This Row],[Total]]-Table341011[[#This Row],[Total]]</f>
        <v>11729</v>
      </c>
      <c r="D24" s="38">
        <f>Table341011121318141516[[#This Row],[  5-11]]-Table341011[[#This Row],[  5-11]]</f>
        <v>6410.1787468551574</v>
      </c>
      <c r="E24" s="38">
        <f>Table341011121318141516[[#This Row],[  12-17]]-Table341011[[#This Row],[  12-17]]</f>
        <v>578.47482129307991</v>
      </c>
      <c r="F24" s="38">
        <f>Table341011121318141516[[#This Row],[  18-24]]-Table341011[[#This Row],[  18-24]]</f>
        <v>-5.6535681482373548</v>
      </c>
      <c r="G24" s="5">
        <f>Table341011121318141516[[#This Row],[  25-29 ]]-Table341011[[#This Row],[  25-29 ]]</f>
        <v>703</v>
      </c>
      <c r="H24" s="5">
        <f>Table341011121318141516[[#This Row],[  30-34]]-Table341011[[#This Row],[  30-34]]</f>
        <v>489</v>
      </c>
      <c r="I24" s="5">
        <f>Table341011121318141516[[#This Row],[  35-39]]-Table341011[[#This Row],[  35-39]]</f>
        <v>469</v>
      </c>
      <c r="J24" s="5">
        <f>Table341011121318141516[[#This Row],[  40-44]]-Table341011[[#This Row],[  40-44]]</f>
        <v>489</v>
      </c>
      <c r="K24" s="5">
        <f>Table341011121318141516[[#This Row],[  45-49 ]]-Table341011[[#This Row],[  45-49 ]]</f>
        <v>770</v>
      </c>
      <c r="L24" s="5">
        <f>Table341011121318141516[[#This Row],[  50-54]]-Table341011[[#This Row],[  50-54]]</f>
        <v>493</v>
      </c>
      <c r="M24" s="5">
        <f>Table341011121318141516[[#This Row],[  55-59]]-Table341011[[#This Row],[  55-59]]</f>
        <v>617</v>
      </c>
      <c r="N24" s="5">
        <f>Table341011121318141516[[#This Row],[  60-64]]-Table341011[[#This Row],[  60-64]]</f>
        <v>266</v>
      </c>
      <c r="O24" s="5">
        <f>Table341011121318141516[[#This Row],[  65-69]]-Table341011[[#This Row],[  65-69]]</f>
        <v>157</v>
      </c>
      <c r="P24" s="5">
        <f>Table341011121318141516[[#This Row],[  70-74]]-Table341011[[#This Row],[  70-74]]</f>
        <v>285</v>
      </c>
      <c r="Q24" s="5">
        <f>Table341011121318141516[[#This Row],[  75-79]]-Table341011[[#This Row],[  75-79]]</f>
        <v>23</v>
      </c>
      <c r="R24" s="5">
        <f>Table341011121318141516[[#This Row],[  80-84]]-Table341011[[#This Row],[  80-84]]</f>
        <v>-43</v>
      </c>
      <c r="S24" s="5">
        <f>Table341011121318141516[[#This Row],[  85-89]]-Table341011[[#This Row],[  85-89]]</f>
        <v>45</v>
      </c>
      <c r="T24" s="5">
        <f>Table341011121318141516[[#This Row],[  90+]]-Table341011[[#This Row],[  90+]]</f>
        <v>-17</v>
      </c>
    </row>
    <row r="25" spans="1:20" x14ac:dyDescent="0.2">
      <c r="A25" s="9" t="s">
        <v>8</v>
      </c>
      <c r="B25" s="6" t="s">
        <v>23</v>
      </c>
      <c r="C25" s="5">
        <f>Table341011121318141516[[#This Row],[Total]]-Table341011[[#This Row],[Total]]</f>
        <v>11297</v>
      </c>
      <c r="D25" s="38">
        <f>Table341011121318141516[[#This Row],[  5-11]]-Table341011[[#This Row],[  5-11]]</f>
        <v>5836.5020973419614</v>
      </c>
      <c r="E25" s="38">
        <f>Table341011121318141516[[#This Row],[  12-17]]-Table341011[[#This Row],[  12-17]]</f>
        <v>407.26080816171634</v>
      </c>
      <c r="F25" s="38">
        <f>Table341011121318141516[[#This Row],[  18-24]]-Table341011[[#This Row],[  18-24]]</f>
        <v>62.237094496322243</v>
      </c>
      <c r="G25" s="5">
        <f>Table341011121318141516[[#This Row],[  25-29 ]]-Table341011[[#This Row],[  25-29 ]]</f>
        <v>639</v>
      </c>
      <c r="H25" s="5">
        <f>Table341011121318141516[[#This Row],[  30-34]]-Table341011[[#This Row],[  30-34]]</f>
        <v>673</v>
      </c>
      <c r="I25" s="5">
        <f>Table341011121318141516[[#This Row],[  35-39]]-Table341011[[#This Row],[  35-39]]</f>
        <v>338</v>
      </c>
      <c r="J25" s="5">
        <f>Table341011121318141516[[#This Row],[  40-44]]-Table341011[[#This Row],[  40-44]]</f>
        <v>576</v>
      </c>
      <c r="K25" s="5">
        <f>Table341011121318141516[[#This Row],[  45-49 ]]-Table341011[[#This Row],[  45-49 ]]</f>
        <v>632</v>
      </c>
      <c r="L25" s="5">
        <f>Table341011121318141516[[#This Row],[  50-54]]-Table341011[[#This Row],[  50-54]]</f>
        <v>528</v>
      </c>
      <c r="M25" s="5">
        <f>Table341011121318141516[[#This Row],[  55-59]]-Table341011[[#This Row],[  55-59]]</f>
        <v>518</v>
      </c>
      <c r="N25" s="5">
        <f>Table341011121318141516[[#This Row],[  60-64]]-Table341011[[#This Row],[  60-64]]</f>
        <v>349</v>
      </c>
      <c r="O25" s="5">
        <f>Table341011121318141516[[#This Row],[  65-69]]-Table341011[[#This Row],[  65-69]]</f>
        <v>296</v>
      </c>
      <c r="P25" s="5">
        <f>Table341011121318141516[[#This Row],[  70-74]]-Table341011[[#This Row],[  70-74]]</f>
        <v>319</v>
      </c>
      <c r="Q25" s="5">
        <f>Table341011121318141516[[#This Row],[  75-79]]-Table341011[[#This Row],[  75-79]]</f>
        <v>35</v>
      </c>
      <c r="R25" s="5">
        <f>Table341011121318141516[[#This Row],[  80-84]]-Table341011[[#This Row],[  80-84]]</f>
        <v>18</v>
      </c>
      <c r="S25" s="5">
        <f>Table341011121318141516[[#This Row],[  85-89]]-Table341011[[#This Row],[  85-89]]</f>
        <v>37</v>
      </c>
      <c r="T25" s="5">
        <f>Table341011121318141516[[#This Row],[  90+]]-Table341011[[#This Row],[  90+]]</f>
        <v>33</v>
      </c>
    </row>
    <row r="26" spans="1:20" x14ac:dyDescent="0.2">
      <c r="A26" s="9" t="s">
        <v>9</v>
      </c>
      <c r="B26" s="6" t="s">
        <v>22</v>
      </c>
      <c r="C26" s="5">
        <f>Table341011121318141516[[#This Row],[Total]]-Table341011[[#This Row],[Total]]</f>
        <v>28308</v>
      </c>
      <c r="D26" s="38">
        <f>Table341011121318141516[[#This Row],[  5-11]]-Table341011[[#This Row],[  5-11]]</f>
        <v>18707.225047679593</v>
      </c>
      <c r="E26" s="38">
        <f>Table341011121318141516[[#This Row],[  12-17]]-Table341011[[#This Row],[  12-17]]</f>
        <v>1646.8162746344551</v>
      </c>
      <c r="F26" s="38">
        <f>Table341011121318141516[[#This Row],[  18-24]]-Table341011[[#This Row],[  18-24]]</f>
        <v>-2303.0413223140495</v>
      </c>
      <c r="G26" s="5">
        <f>Table341011121318141516[[#This Row],[  25-29 ]]-Table341011[[#This Row],[  25-29 ]]</f>
        <v>1118</v>
      </c>
      <c r="H26" s="5">
        <f>Table341011121318141516[[#This Row],[  30-34]]-Table341011[[#This Row],[  30-34]]</f>
        <v>746</v>
      </c>
      <c r="I26" s="5">
        <f>Table341011121318141516[[#This Row],[  35-39]]-Table341011[[#This Row],[  35-39]]</f>
        <v>754</v>
      </c>
      <c r="J26" s="5">
        <f>Table341011121318141516[[#This Row],[  40-44]]-Table341011[[#This Row],[  40-44]]</f>
        <v>939</v>
      </c>
      <c r="K26" s="5">
        <f>Table341011121318141516[[#This Row],[  45-49 ]]-Table341011[[#This Row],[  45-49 ]]</f>
        <v>1772</v>
      </c>
      <c r="L26" s="5">
        <f>Table341011121318141516[[#This Row],[  50-54]]-Table341011[[#This Row],[  50-54]]</f>
        <v>1278</v>
      </c>
      <c r="M26" s="5">
        <f>Table341011121318141516[[#This Row],[  55-59]]-Table341011[[#This Row],[  55-59]]</f>
        <v>1624</v>
      </c>
      <c r="N26" s="5">
        <f>Table341011121318141516[[#This Row],[  60-64]]-Table341011[[#This Row],[  60-64]]</f>
        <v>563</v>
      </c>
      <c r="O26" s="5">
        <f>Table341011121318141516[[#This Row],[  65-69]]-Table341011[[#This Row],[  65-69]]</f>
        <v>626</v>
      </c>
      <c r="P26" s="5">
        <f>Table341011121318141516[[#This Row],[  70-74]]-Table341011[[#This Row],[  70-74]]</f>
        <v>830</v>
      </c>
      <c r="Q26" s="5">
        <f>Table341011121318141516[[#This Row],[  75-79]]-Table341011[[#This Row],[  75-79]]</f>
        <v>-97</v>
      </c>
      <c r="R26" s="5">
        <f>Table341011121318141516[[#This Row],[  80-84]]-Table341011[[#This Row],[  80-84]]</f>
        <v>-33</v>
      </c>
      <c r="S26" s="5">
        <f>Table341011121318141516[[#This Row],[  85-89]]-Table341011[[#This Row],[  85-89]]</f>
        <v>77</v>
      </c>
      <c r="T26" s="5">
        <f>Table341011121318141516[[#This Row],[  90+]]-Table341011[[#This Row],[  90+]]</f>
        <v>60</v>
      </c>
    </row>
    <row r="27" spans="1:20" x14ac:dyDescent="0.2">
      <c r="A27" s="9" t="s">
        <v>9</v>
      </c>
      <c r="B27" s="6" t="s">
        <v>0</v>
      </c>
      <c r="C27" s="5">
        <f>Table341011121318141516[[#This Row],[Total]]-Table341011[[#This Row],[Total]]</f>
        <v>14527</v>
      </c>
      <c r="D27" s="38">
        <f>Table341011121318141516[[#This Row],[  5-11]]-Table341011[[#This Row],[  5-11]]</f>
        <v>9561.5440277944163</v>
      </c>
      <c r="E27" s="38">
        <f>Table341011121318141516[[#This Row],[  12-17]]-Table341011[[#This Row],[  12-17]]</f>
        <v>906.16856355576874</v>
      </c>
      <c r="F27" s="38">
        <f>Table341011121318141516[[#This Row],[  18-24]]-Table341011[[#This Row],[  18-24]]</f>
        <v>-1054.7125913501859</v>
      </c>
      <c r="G27" s="5">
        <f>Table341011121318141516[[#This Row],[  25-29 ]]-Table341011[[#This Row],[  25-29 ]]</f>
        <v>697</v>
      </c>
      <c r="H27" s="5">
        <f>Table341011121318141516[[#This Row],[  30-34]]-Table341011[[#This Row],[  30-34]]</f>
        <v>344</v>
      </c>
      <c r="I27" s="5">
        <f>Table341011121318141516[[#This Row],[  35-39]]-Table341011[[#This Row],[  35-39]]</f>
        <v>419</v>
      </c>
      <c r="J27" s="5">
        <f>Table341011121318141516[[#This Row],[  40-44]]-Table341011[[#This Row],[  40-44]]</f>
        <v>419</v>
      </c>
      <c r="K27" s="5">
        <f>Table341011121318141516[[#This Row],[  45-49 ]]-Table341011[[#This Row],[  45-49 ]]</f>
        <v>921</v>
      </c>
      <c r="L27" s="5">
        <f>Table341011121318141516[[#This Row],[  50-54]]-Table341011[[#This Row],[  50-54]]</f>
        <v>646</v>
      </c>
      <c r="M27" s="5">
        <f>Table341011121318141516[[#This Row],[  55-59]]-Table341011[[#This Row],[  55-59]]</f>
        <v>759</v>
      </c>
      <c r="N27" s="5">
        <f>Table341011121318141516[[#This Row],[  60-64]]-Table341011[[#This Row],[  60-64]]</f>
        <v>304</v>
      </c>
      <c r="O27" s="5">
        <f>Table341011121318141516[[#This Row],[  65-69]]-Table341011[[#This Row],[  65-69]]</f>
        <v>270</v>
      </c>
      <c r="P27" s="5">
        <f>Table341011121318141516[[#This Row],[  70-74]]-Table341011[[#This Row],[  70-74]]</f>
        <v>428</v>
      </c>
      <c r="Q27" s="5">
        <f>Table341011121318141516[[#This Row],[  75-79]]-Table341011[[#This Row],[  75-79]]</f>
        <v>-113</v>
      </c>
      <c r="R27" s="5">
        <f>Table341011121318141516[[#This Row],[  80-84]]-Table341011[[#This Row],[  80-84]]</f>
        <v>17</v>
      </c>
      <c r="S27" s="5">
        <f>Table341011121318141516[[#This Row],[  85-89]]-Table341011[[#This Row],[  85-89]]</f>
        <v>-46</v>
      </c>
      <c r="T27" s="5">
        <f>Table341011121318141516[[#This Row],[  90+]]-Table341011[[#This Row],[  90+]]</f>
        <v>49</v>
      </c>
    </row>
    <row r="28" spans="1:20" x14ac:dyDescent="0.2">
      <c r="A28" s="9" t="s">
        <v>9</v>
      </c>
      <c r="B28" s="6" t="s">
        <v>23</v>
      </c>
      <c r="C28" s="5">
        <f>Table341011121318141516[[#This Row],[Total]]-Table341011[[#This Row],[Total]]</f>
        <v>13781</v>
      </c>
      <c r="D28" s="38">
        <f>Table341011121318141516[[#This Row],[  5-11]]-Table341011[[#This Row],[  5-11]]</f>
        <v>9145.4298180898386</v>
      </c>
      <c r="E28" s="38">
        <f>Table341011121318141516[[#This Row],[  12-17]]-Table341011[[#This Row],[  12-17]]</f>
        <v>740.97124849813372</v>
      </c>
      <c r="F28" s="38">
        <f>Table341011121318141516[[#This Row],[  18-24]]-Table341011[[#This Row],[  18-24]]</f>
        <v>-1248.4010665879714</v>
      </c>
      <c r="G28" s="5">
        <f>Table341011121318141516[[#This Row],[  25-29 ]]-Table341011[[#This Row],[  25-29 ]]</f>
        <v>421</v>
      </c>
      <c r="H28" s="5">
        <f>Table341011121318141516[[#This Row],[  30-34]]-Table341011[[#This Row],[  30-34]]</f>
        <v>402</v>
      </c>
      <c r="I28" s="5">
        <f>Table341011121318141516[[#This Row],[  35-39]]-Table341011[[#This Row],[  35-39]]</f>
        <v>335</v>
      </c>
      <c r="J28" s="5">
        <f>Table341011121318141516[[#This Row],[  40-44]]-Table341011[[#This Row],[  40-44]]</f>
        <v>520</v>
      </c>
      <c r="K28" s="5">
        <f>Table341011121318141516[[#This Row],[  45-49 ]]-Table341011[[#This Row],[  45-49 ]]</f>
        <v>851</v>
      </c>
      <c r="L28" s="5">
        <f>Table341011121318141516[[#This Row],[  50-54]]-Table341011[[#This Row],[  50-54]]</f>
        <v>632</v>
      </c>
      <c r="M28" s="5">
        <f>Table341011121318141516[[#This Row],[  55-59]]-Table341011[[#This Row],[  55-59]]</f>
        <v>865</v>
      </c>
      <c r="N28" s="5">
        <f>Table341011121318141516[[#This Row],[  60-64]]-Table341011[[#This Row],[  60-64]]</f>
        <v>259</v>
      </c>
      <c r="O28" s="5">
        <f>Table341011121318141516[[#This Row],[  65-69]]-Table341011[[#This Row],[  65-69]]</f>
        <v>356</v>
      </c>
      <c r="P28" s="5">
        <f>Table341011121318141516[[#This Row],[  70-74]]-Table341011[[#This Row],[  70-74]]</f>
        <v>402</v>
      </c>
      <c r="Q28" s="5">
        <f>Table341011121318141516[[#This Row],[  75-79]]-Table341011[[#This Row],[  75-79]]</f>
        <v>16</v>
      </c>
      <c r="R28" s="5">
        <f>Table341011121318141516[[#This Row],[  80-84]]-Table341011[[#This Row],[  80-84]]</f>
        <v>-50</v>
      </c>
      <c r="S28" s="5">
        <f>Table341011121318141516[[#This Row],[  85-89]]-Table341011[[#This Row],[  85-89]]</f>
        <v>123</v>
      </c>
      <c r="T28" s="5">
        <f>Table341011121318141516[[#This Row],[  90+]]-Table341011[[#This Row],[  90+]]</f>
        <v>11</v>
      </c>
    </row>
    <row r="29" spans="1:20" x14ac:dyDescent="0.2">
      <c r="A29" s="9" t="s">
        <v>10</v>
      </c>
      <c r="B29" s="6" t="s">
        <v>22</v>
      </c>
      <c r="C29" s="5">
        <f>Table341011121318141516[[#This Row],[Total]]-Table341011[[#This Row],[Total]]</f>
        <v>23099</v>
      </c>
      <c r="D29" s="38">
        <f>Table341011121318141516[[#This Row],[  5-11]]-Table341011[[#This Row],[  5-11]]</f>
        <v>13204.675635215226</v>
      </c>
      <c r="E29" s="38">
        <f>Table341011121318141516[[#This Row],[  12-17]]-Table341011[[#This Row],[  12-17]]</f>
        <v>393.3910136784034</v>
      </c>
      <c r="F29" s="38">
        <f>Table341011121318141516[[#This Row],[  18-24]]-Table341011[[#This Row],[  18-24]]</f>
        <v>-569.06664889362764</v>
      </c>
      <c r="G29" s="5">
        <f>Table341011121318141516[[#This Row],[  25-29 ]]-Table341011[[#This Row],[  25-29 ]]</f>
        <v>737</v>
      </c>
      <c r="H29" s="5">
        <f>Table341011121318141516[[#This Row],[  30-34]]-Table341011[[#This Row],[  30-34]]</f>
        <v>64</v>
      </c>
      <c r="I29" s="5">
        <f>Table341011121318141516[[#This Row],[  35-39]]-Table341011[[#This Row],[  35-39]]</f>
        <v>155</v>
      </c>
      <c r="J29" s="5">
        <f>Table341011121318141516[[#This Row],[  40-44]]-Table341011[[#This Row],[  40-44]]</f>
        <v>823</v>
      </c>
      <c r="K29" s="5">
        <f>Table341011121318141516[[#This Row],[  45-49 ]]-Table341011[[#This Row],[  45-49 ]]</f>
        <v>1889</v>
      </c>
      <c r="L29" s="5">
        <f>Table341011121318141516[[#This Row],[  50-54]]-Table341011[[#This Row],[  50-54]]</f>
        <v>1536</v>
      </c>
      <c r="M29" s="5">
        <f>Table341011121318141516[[#This Row],[  55-59]]-Table341011[[#This Row],[  55-59]]</f>
        <v>1613</v>
      </c>
      <c r="N29" s="5">
        <f>Table341011121318141516[[#This Row],[  60-64]]-Table341011[[#This Row],[  60-64]]</f>
        <v>991</v>
      </c>
      <c r="O29" s="5">
        <f>Table341011121318141516[[#This Row],[  65-69]]-Table341011[[#This Row],[  65-69]]</f>
        <v>944</v>
      </c>
      <c r="P29" s="5">
        <f>Table341011121318141516[[#This Row],[  70-74]]-Table341011[[#This Row],[  70-74]]</f>
        <v>973</v>
      </c>
      <c r="Q29" s="5">
        <f>Table341011121318141516[[#This Row],[  75-79]]-Table341011[[#This Row],[  75-79]]</f>
        <v>-126</v>
      </c>
      <c r="R29" s="5">
        <f>Table341011121318141516[[#This Row],[  80-84]]-Table341011[[#This Row],[  80-84]]</f>
        <v>37</v>
      </c>
      <c r="S29" s="5">
        <f>Table341011121318141516[[#This Row],[  85-89]]-Table341011[[#This Row],[  85-89]]</f>
        <v>201</v>
      </c>
      <c r="T29" s="5">
        <f>Table341011121318141516[[#This Row],[  90+]]-Table341011[[#This Row],[  90+]]</f>
        <v>233</v>
      </c>
    </row>
    <row r="30" spans="1:20" x14ac:dyDescent="0.2">
      <c r="A30" s="9" t="s">
        <v>10</v>
      </c>
      <c r="B30" s="6" t="s">
        <v>0</v>
      </c>
      <c r="C30" s="5">
        <f>Table341011121318141516[[#This Row],[Total]]-Table341011[[#This Row],[Total]]</f>
        <v>10304</v>
      </c>
      <c r="D30" s="38">
        <f>Table341011121318141516[[#This Row],[  5-11]]-Table341011[[#This Row],[  5-11]]</f>
        <v>6916.7464957469747</v>
      </c>
      <c r="E30" s="38">
        <f>Table341011121318141516[[#This Row],[  12-17]]-Table341011[[#This Row],[  12-17]]</f>
        <v>288.84848847889498</v>
      </c>
      <c r="F30" s="38">
        <f>Table341011121318141516[[#This Row],[  18-24]]-Table341011[[#This Row],[  18-24]]</f>
        <v>-712.59498422586967</v>
      </c>
      <c r="G30" s="5">
        <f>Table341011121318141516[[#This Row],[  25-29 ]]-Table341011[[#This Row],[  25-29 ]]</f>
        <v>172</v>
      </c>
      <c r="H30" s="5">
        <f>Table341011121318141516[[#This Row],[  30-34]]-Table341011[[#This Row],[  30-34]]</f>
        <v>-199</v>
      </c>
      <c r="I30" s="5">
        <f>Table341011121318141516[[#This Row],[  35-39]]-Table341011[[#This Row],[  35-39]]</f>
        <v>-82</v>
      </c>
      <c r="J30" s="5">
        <f>Table341011121318141516[[#This Row],[  40-44]]-Table341011[[#This Row],[  40-44]]</f>
        <v>219</v>
      </c>
      <c r="K30" s="5">
        <f>Table341011121318141516[[#This Row],[  45-49 ]]-Table341011[[#This Row],[  45-49 ]]</f>
        <v>816</v>
      </c>
      <c r="L30" s="5">
        <f>Table341011121318141516[[#This Row],[  50-54]]-Table341011[[#This Row],[  50-54]]</f>
        <v>736</v>
      </c>
      <c r="M30" s="5">
        <f>Table341011121318141516[[#This Row],[  55-59]]-Table341011[[#This Row],[  55-59]]</f>
        <v>730</v>
      </c>
      <c r="N30" s="5">
        <f>Table341011121318141516[[#This Row],[  60-64]]-Table341011[[#This Row],[  60-64]]</f>
        <v>445</v>
      </c>
      <c r="O30" s="5">
        <f>Table341011121318141516[[#This Row],[  65-69]]-Table341011[[#This Row],[  65-69]]</f>
        <v>415</v>
      </c>
      <c r="P30" s="5">
        <f>Table341011121318141516[[#This Row],[  70-74]]-Table341011[[#This Row],[  70-74]]</f>
        <v>507</v>
      </c>
      <c r="Q30" s="5">
        <f>Table341011121318141516[[#This Row],[  75-79]]-Table341011[[#This Row],[  75-79]]</f>
        <v>-87</v>
      </c>
      <c r="R30" s="5">
        <f>Table341011121318141516[[#This Row],[  80-84]]-Table341011[[#This Row],[  80-84]]</f>
        <v>-9</v>
      </c>
      <c r="S30" s="5">
        <f>Table341011121318141516[[#This Row],[  85-89]]-Table341011[[#This Row],[  85-89]]</f>
        <v>94</v>
      </c>
      <c r="T30" s="5">
        <f>Table341011121318141516[[#This Row],[  90+]]-Table341011[[#This Row],[  90+]]</f>
        <v>54</v>
      </c>
    </row>
    <row r="31" spans="1:20" x14ac:dyDescent="0.2">
      <c r="A31" s="9" t="s">
        <v>10</v>
      </c>
      <c r="B31" s="6" t="s">
        <v>23</v>
      </c>
      <c r="C31" s="5">
        <f>Table341011121318141516[[#This Row],[Total]]-Table341011[[#This Row],[Total]]</f>
        <v>12795</v>
      </c>
      <c r="D31" s="38">
        <f>Table341011121318141516[[#This Row],[  5-11]]-Table341011[[#This Row],[  5-11]]</f>
        <v>6287.5669146940409</v>
      </c>
      <c r="E31" s="38">
        <f>Table341011121318141516[[#This Row],[  12-17]]-Table341011[[#This Row],[  12-17]]</f>
        <v>105.08477898863839</v>
      </c>
      <c r="F31" s="38">
        <f>Table341011121318141516[[#This Row],[  18-24]]-Table341011[[#This Row],[  18-24]]</f>
        <v>143.34830631732075</v>
      </c>
      <c r="G31" s="5">
        <f>Table341011121318141516[[#This Row],[  25-29 ]]-Table341011[[#This Row],[  25-29 ]]</f>
        <v>565</v>
      </c>
      <c r="H31" s="5">
        <f>Table341011121318141516[[#This Row],[  30-34]]-Table341011[[#This Row],[  30-34]]</f>
        <v>263</v>
      </c>
      <c r="I31" s="5">
        <f>Table341011121318141516[[#This Row],[  35-39]]-Table341011[[#This Row],[  35-39]]</f>
        <v>237</v>
      </c>
      <c r="J31" s="5">
        <f>Table341011121318141516[[#This Row],[  40-44]]-Table341011[[#This Row],[  40-44]]</f>
        <v>604</v>
      </c>
      <c r="K31" s="5">
        <f>Table341011121318141516[[#This Row],[  45-49 ]]-Table341011[[#This Row],[  45-49 ]]</f>
        <v>1073</v>
      </c>
      <c r="L31" s="5">
        <f>Table341011121318141516[[#This Row],[  50-54]]-Table341011[[#This Row],[  50-54]]</f>
        <v>800</v>
      </c>
      <c r="M31" s="5">
        <f>Table341011121318141516[[#This Row],[  55-59]]-Table341011[[#This Row],[  55-59]]</f>
        <v>883</v>
      </c>
      <c r="N31" s="5">
        <f>Table341011121318141516[[#This Row],[  60-64]]-Table341011[[#This Row],[  60-64]]</f>
        <v>546</v>
      </c>
      <c r="O31" s="5">
        <f>Table341011121318141516[[#This Row],[  65-69]]-Table341011[[#This Row],[  65-69]]</f>
        <v>529</v>
      </c>
      <c r="P31" s="5">
        <f>Table341011121318141516[[#This Row],[  70-74]]-Table341011[[#This Row],[  70-74]]</f>
        <v>466</v>
      </c>
      <c r="Q31" s="5">
        <f>Table341011121318141516[[#This Row],[  75-79]]-Table341011[[#This Row],[  75-79]]</f>
        <v>-39</v>
      </c>
      <c r="R31" s="5">
        <f>Table341011121318141516[[#This Row],[  80-84]]-Table341011[[#This Row],[  80-84]]</f>
        <v>46</v>
      </c>
      <c r="S31" s="5">
        <f>Table341011121318141516[[#This Row],[  85-89]]-Table341011[[#This Row],[  85-89]]</f>
        <v>107</v>
      </c>
      <c r="T31" s="5">
        <f>Table341011121318141516[[#This Row],[  90+]]-Table341011[[#This Row],[  90+]]</f>
        <v>179</v>
      </c>
    </row>
    <row r="32" spans="1:20" x14ac:dyDescent="0.2">
      <c r="A32" s="9" t="s">
        <v>11</v>
      </c>
      <c r="B32" s="6" t="s">
        <v>22</v>
      </c>
      <c r="C32" s="5">
        <f>Table341011121318141516[[#This Row],[Total]]-Table341011[[#This Row],[Total]]</f>
        <v>40970</v>
      </c>
      <c r="D32" s="38">
        <f>Table341011121318141516[[#This Row],[  5-11]]-Table341011[[#This Row],[  5-11]]</f>
        <v>19668.054529048666</v>
      </c>
      <c r="E32" s="38">
        <f>Table341011121318141516[[#This Row],[  12-17]]-Table341011[[#This Row],[  12-17]]</f>
        <v>2017.0534421590128</v>
      </c>
      <c r="F32" s="38">
        <f>Table341011121318141516[[#This Row],[  18-24]]-Table341011[[#This Row],[  18-24]]</f>
        <v>1244.8920287923229</v>
      </c>
      <c r="G32" s="5">
        <f>Table341011121318141516[[#This Row],[  25-29 ]]-Table341011[[#This Row],[  25-29 ]]</f>
        <v>2066</v>
      </c>
      <c r="H32" s="5">
        <f>Table341011121318141516[[#This Row],[  30-34]]-Table341011[[#This Row],[  30-34]]</f>
        <v>2004</v>
      </c>
      <c r="I32" s="5">
        <f>Table341011121318141516[[#This Row],[  35-39]]-Table341011[[#This Row],[  35-39]]</f>
        <v>1429</v>
      </c>
      <c r="J32" s="5">
        <f>Table341011121318141516[[#This Row],[  40-44]]-Table341011[[#This Row],[  40-44]]</f>
        <v>1779</v>
      </c>
      <c r="K32" s="5">
        <f>Table341011121318141516[[#This Row],[  45-49 ]]-Table341011[[#This Row],[  45-49 ]]</f>
        <v>2352</v>
      </c>
      <c r="L32" s="5">
        <f>Table341011121318141516[[#This Row],[  50-54]]-Table341011[[#This Row],[  50-54]]</f>
        <v>2239</v>
      </c>
      <c r="M32" s="5">
        <f>Table341011121318141516[[#This Row],[  55-59]]-Table341011[[#This Row],[  55-59]]</f>
        <v>2243</v>
      </c>
      <c r="N32" s="5">
        <f>Table341011121318141516[[#This Row],[  60-64]]-Table341011[[#This Row],[  60-64]]</f>
        <v>1561</v>
      </c>
      <c r="O32" s="5">
        <f>Table341011121318141516[[#This Row],[  65-69]]-Table341011[[#This Row],[  65-69]]</f>
        <v>1402</v>
      </c>
      <c r="P32" s="5">
        <f>Table341011121318141516[[#This Row],[  70-74]]-Table341011[[#This Row],[  70-74]]</f>
        <v>935</v>
      </c>
      <c r="Q32" s="5">
        <f>Table341011121318141516[[#This Row],[  75-79]]-Table341011[[#This Row],[  75-79]]</f>
        <v>-183</v>
      </c>
      <c r="R32" s="5">
        <f>Table341011121318141516[[#This Row],[  80-84]]-Table341011[[#This Row],[  80-84]]</f>
        <v>125</v>
      </c>
      <c r="S32" s="5">
        <f>Table341011121318141516[[#This Row],[  85-89]]-Table341011[[#This Row],[  85-89]]</f>
        <v>-7</v>
      </c>
      <c r="T32" s="5">
        <f>Table341011121318141516[[#This Row],[  90+]]-Table341011[[#This Row],[  90+]]</f>
        <v>95</v>
      </c>
    </row>
    <row r="33" spans="1:20" x14ac:dyDescent="0.2">
      <c r="A33" s="9" t="s">
        <v>11</v>
      </c>
      <c r="B33" s="6" t="s">
        <v>0</v>
      </c>
      <c r="C33" s="5">
        <f>Table341011121318141516[[#This Row],[Total]]-Table341011[[#This Row],[Total]]</f>
        <v>21429</v>
      </c>
      <c r="D33" s="38">
        <f>Table341011121318141516[[#This Row],[  5-11]]-Table341011[[#This Row],[  5-11]]</f>
        <v>10206.146280100635</v>
      </c>
      <c r="E33" s="38">
        <f>Table341011121318141516[[#This Row],[  12-17]]-Table341011[[#This Row],[  12-17]]</f>
        <v>1148.5981390519555</v>
      </c>
      <c r="F33" s="38">
        <f>Table341011121318141516[[#This Row],[  18-24]]-Table341011[[#This Row],[  18-24]]</f>
        <v>659.25558084740987</v>
      </c>
      <c r="G33" s="5">
        <f>Table341011121318141516[[#This Row],[  25-29 ]]-Table341011[[#This Row],[  25-29 ]]</f>
        <v>1155</v>
      </c>
      <c r="H33" s="5">
        <f>Table341011121318141516[[#This Row],[  30-34]]-Table341011[[#This Row],[  30-34]]</f>
        <v>1189</v>
      </c>
      <c r="I33" s="5">
        <f>Table341011121318141516[[#This Row],[  35-39]]-Table341011[[#This Row],[  35-39]]</f>
        <v>741</v>
      </c>
      <c r="J33" s="5">
        <f>Table341011121318141516[[#This Row],[  40-44]]-Table341011[[#This Row],[  40-44]]</f>
        <v>937</v>
      </c>
      <c r="K33" s="5">
        <f>Table341011121318141516[[#This Row],[  45-49 ]]-Table341011[[#This Row],[  45-49 ]]</f>
        <v>1359</v>
      </c>
      <c r="L33" s="5">
        <f>Table341011121318141516[[#This Row],[  50-54]]-Table341011[[#This Row],[  50-54]]</f>
        <v>1186</v>
      </c>
      <c r="M33" s="5">
        <f>Table341011121318141516[[#This Row],[  55-59]]-Table341011[[#This Row],[  55-59]]</f>
        <v>1117</v>
      </c>
      <c r="N33" s="5">
        <f>Table341011121318141516[[#This Row],[  60-64]]-Table341011[[#This Row],[  60-64]]</f>
        <v>805</v>
      </c>
      <c r="O33" s="5">
        <f>Table341011121318141516[[#This Row],[  65-69]]-Table341011[[#This Row],[  65-69]]</f>
        <v>682</v>
      </c>
      <c r="P33" s="5">
        <f>Table341011121318141516[[#This Row],[  70-74]]-Table341011[[#This Row],[  70-74]]</f>
        <v>459</v>
      </c>
      <c r="Q33" s="5">
        <f>Table341011121318141516[[#This Row],[  75-79]]-Table341011[[#This Row],[  75-79]]</f>
        <v>-203</v>
      </c>
      <c r="R33" s="5">
        <f>Table341011121318141516[[#This Row],[  80-84]]-Table341011[[#This Row],[  80-84]]</f>
        <v>24</v>
      </c>
      <c r="S33" s="5">
        <f>Table341011121318141516[[#This Row],[  85-89]]-Table341011[[#This Row],[  85-89]]</f>
        <v>-53</v>
      </c>
      <c r="T33" s="5">
        <f>Table341011121318141516[[#This Row],[  90+]]-Table341011[[#This Row],[  90+]]</f>
        <v>17</v>
      </c>
    </row>
    <row r="34" spans="1:20" x14ac:dyDescent="0.2">
      <c r="A34" s="9" t="s">
        <v>11</v>
      </c>
      <c r="B34" s="6" t="s">
        <v>23</v>
      </c>
      <c r="C34" s="5">
        <f>Table341011121318141516[[#This Row],[Total]]-Table341011[[#This Row],[Total]]</f>
        <v>19541</v>
      </c>
      <c r="D34" s="38">
        <f>Table341011121318141516[[#This Row],[  5-11]]-Table341011[[#This Row],[  5-11]]</f>
        <v>9461.5214055352972</v>
      </c>
      <c r="E34" s="38">
        <f>Table341011121318141516[[#This Row],[  12-17]]-Table341011[[#This Row],[  12-17]]</f>
        <v>869.01357475601253</v>
      </c>
      <c r="F34" s="38">
        <f>Table341011121318141516[[#This Row],[  18-24]]-Table341011[[#This Row],[  18-24]]</f>
        <v>585.46501970869122</v>
      </c>
      <c r="G34" s="5">
        <f>Table341011121318141516[[#This Row],[  25-29 ]]-Table341011[[#This Row],[  25-29 ]]</f>
        <v>911</v>
      </c>
      <c r="H34" s="5">
        <f>Table341011121318141516[[#This Row],[  30-34]]-Table341011[[#This Row],[  30-34]]</f>
        <v>815</v>
      </c>
      <c r="I34" s="5">
        <f>Table341011121318141516[[#This Row],[  35-39]]-Table341011[[#This Row],[  35-39]]</f>
        <v>688</v>
      </c>
      <c r="J34" s="5">
        <f>Table341011121318141516[[#This Row],[  40-44]]-Table341011[[#This Row],[  40-44]]</f>
        <v>842</v>
      </c>
      <c r="K34" s="5">
        <f>Table341011121318141516[[#This Row],[  45-49 ]]-Table341011[[#This Row],[  45-49 ]]</f>
        <v>993</v>
      </c>
      <c r="L34" s="5">
        <f>Table341011121318141516[[#This Row],[  50-54]]-Table341011[[#This Row],[  50-54]]</f>
        <v>1053</v>
      </c>
      <c r="M34" s="5">
        <f>Table341011121318141516[[#This Row],[  55-59]]-Table341011[[#This Row],[  55-59]]</f>
        <v>1126</v>
      </c>
      <c r="N34" s="5">
        <f>Table341011121318141516[[#This Row],[  60-64]]-Table341011[[#This Row],[  60-64]]</f>
        <v>756</v>
      </c>
      <c r="O34" s="5">
        <f>Table341011121318141516[[#This Row],[  65-69]]-Table341011[[#This Row],[  65-69]]</f>
        <v>720</v>
      </c>
      <c r="P34" s="5">
        <f>Table341011121318141516[[#This Row],[  70-74]]-Table341011[[#This Row],[  70-74]]</f>
        <v>476</v>
      </c>
      <c r="Q34" s="5">
        <f>Table341011121318141516[[#This Row],[  75-79]]-Table341011[[#This Row],[  75-79]]</f>
        <v>20</v>
      </c>
      <c r="R34" s="5">
        <f>Table341011121318141516[[#This Row],[  80-84]]-Table341011[[#This Row],[  80-84]]</f>
        <v>101</v>
      </c>
      <c r="S34" s="5">
        <f>Table341011121318141516[[#This Row],[  85-89]]-Table341011[[#This Row],[  85-89]]</f>
        <v>46</v>
      </c>
      <c r="T34" s="5">
        <f>Table341011121318141516[[#This Row],[  90+]]-Table341011[[#This Row],[  90+]]</f>
        <v>78</v>
      </c>
    </row>
    <row r="35" spans="1:20" x14ac:dyDescent="0.2">
      <c r="A35" s="9" t="s">
        <v>12</v>
      </c>
      <c r="B35" s="6" t="s">
        <v>22</v>
      </c>
      <c r="C35" s="5">
        <f>Table341011121318141516[[#This Row],[Total]]-Table341011[[#This Row],[Total]]</f>
        <v>-2456</v>
      </c>
      <c r="D35" s="38">
        <f>Table341011121318141516[[#This Row],[  5-11]]-Table341011[[#This Row],[  5-11]]</f>
        <v>-22</v>
      </c>
      <c r="E35" s="38">
        <f>Table341011121318141516[[#This Row],[  12-17]]-Table341011[[#This Row],[  12-17]]</f>
        <v>-110</v>
      </c>
      <c r="F35" s="38">
        <f>Table341011121318141516[[#This Row],[  18-24]]-Table341011[[#This Row],[  18-24]]</f>
        <v>-249</v>
      </c>
      <c r="G35" s="5">
        <f>Table341011121318141516[[#This Row],[  25-29 ]]-Table341011[[#This Row],[  25-29 ]]</f>
        <v>-326</v>
      </c>
      <c r="H35" s="5">
        <f>Table341011121318141516[[#This Row],[  30-34]]-Table341011[[#This Row],[  30-34]]</f>
        <v>-328</v>
      </c>
      <c r="I35" s="5">
        <f>Table341011121318141516[[#This Row],[  35-39]]-Table341011[[#This Row],[  35-39]]</f>
        <v>-272</v>
      </c>
      <c r="J35" s="5">
        <f>Table341011121318141516[[#This Row],[  40-44]]-Table341011[[#This Row],[  40-44]]</f>
        <v>-191</v>
      </c>
      <c r="K35" s="5">
        <f>Table341011121318141516[[#This Row],[  45-49 ]]-Table341011[[#This Row],[  45-49 ]]</f>
        <v>-194</v>
      </c>
      <c r="L35" s="5">
        <f>Table341011121318141516[[#This Row],[  50-54]]-Table341011[[#This Row],[  50-54]]</f>
        <v>-173</v>
      </c>
      <c r="M35" s="5">
        <f>Table341011121318141516[[#This Row],[  55-59]]-Table341011[[#This Row],[  55-59]]</f>
        <v>-198</v>
      </c>
      <c r="N35" s="5">
        <f>Table341011121318141516[[#This Row],[  60-64]]-Table341011[[#This Row],[  60-64]]</f>
        <v>-151</v>
      </c>
      <c r="O35" s="5">
        <f>Table341011121318141516[[#This Row],[  65-69]]-Table341011[[#This Row],[  65-69]]</f>
        <v>-104</v>
      </c>
      <c r="P35" s="5">
        <f>Table341011121318141516[[#This Row],[  70-74]]-Table341011[[#This Row],[  70-74]]</f>
        <v>-63</v>
      </c>
      <c r="Q35" s="5">
        <f>Table341011121318141516[[#This Row],[  75-79]]-Table341011[[#This Row],[  75-79]]</f>
        <v>-34</v>
      </c>
      <c r="R35" s="5">
        <f>Table341011121318141516[[#This Row],[  80-84]]-Table341011[[#This Row],[  80-84]]</f>
        <v>-30</v>
      </c>
      <c r="S35" s="5">
        <f>Table341011121318141516[[#This Row],[  85-89]]-Table341011[[#This Row],[  85-89]]</f>
        <v>-6</v>
      </c>
      <c r="T35" s="5">
        <f>Table341011121318141516[[#This Row],[  90+]]-Table341011[[#This Row],[  90+]]</f>
        <v>-5</v>
      </c>
    </row>
    <row r="36" spans="1:20" x14ac:dyDescent="0.2">
      <c r="A36" s="9" t="s">
        <v>12</v>
      </c>
      <c r="B36" s="6" t="s">
        <v>0</v>
      </c>
      <c r="C36" s="5">
        <f>Table341011121318141516[[#This Row],[Total]]-Table341011[[#This Row],[Total]]</f>
        <v>-1390</v>
      </c>
      <c r="D36" s="38">
        <f>Table341011121318141516[[#This Row],[  5-11]]-Table341011[[#This Row],[  5-11]]</f>
        <v>-9</v>
      </c>
      <c r="E36" s="38">
        <f>Table341011121318141516[[#This Row],[  12-17]]-Table341011[[#This Row],[  12-17]]</f>
        <v>-58</v>
      </c>
      <c r="F36" s="38">
        <f>Table341011121318141516[[#This Row],[  18-24]]-Table341011[[#This Row],[  18-24]]</f>
        <v>-148</v>
      </c>
      <c r="G36" s="5">
        <f>Table341011121318141516[[#This Row],[  25-29 ]]-Table341011[[#This Row],[  25-29 ]]</f>
        <v>-208</v>
      </c>
      <c r="H36" s="5">
        <f>Table341011121318141516[[#This Row],[  30-34]]-Table341011[[#This Row],[  30-34]]</f>
        <v>-213</v>
      </c>
      <c r="I36" s="5">
        <f>Table341011121318141516[[#This Row],[  35-39]]-Table341011[[#This Row],[  35-39]]</f>
        <v>-167</v>
      </c>
      <c r="J36" s="5">
        <f>Table341011121318141516[[#This Row],[  40-44]]-Table341011[[#This Row],[  40-44]]</f>
        <v>-122</v>
      </c>
      <c r="K36" s="5">
        <f>Table341011121318141516[[#This Row],[  45-49 ]]-Table341011[[#This Row],[  45-49 ]]</f>
        <v>-117</v>
      </c>
      <c r="L36" s="5">
        <f>Table341011121318141516[[#This Row],[  50-54]]-Table341011[[#This Row],[  50-54]]</f>
        <v>-78</v>
      </c>
      <c r="M36" s="5">
        <f>Table341011121318141516[[#This Row],[  55-59]]-Table341011[[#This Row],[  55-59]]</f>
        <v>-99</v>
      </c>
      <c r="N36" s="5">
        <f>Table341011121318141516[[#This Row],[  60-64]]-Table341011[[#This Row],[  60-64]]</f>
        <v>-69</v>
      </c>
      <c r="O36" s="5">
        <f>Table341011121318141516[[#This Row],[  65-69]]-Table341011[[#This Row],[  65-69]]</f>
        <v>-44</v>
      </c>
      <c r="P36" s="5">
        <f>Table341011121318141516[[#This Row],[  70-74]]-Table341011[[#This Row],[  70-74]]</f>
        <v>-30</v>
      </c>
      <c r="Q36" s="5">
        <f>Table341011121318141516[[#This Row],[  75-79]]-Table341011[[#This Row],[  75-79]]</f>
        <v>-19</v>
      </c>
      <c r="R36" s="5">
        <f>Table341011121318141516[[#This Row],[  80-84]]-Table341011[[#This Row],[  80-84]]</f>
        <v>-9</v>
      </c>
      <c r="S36" s="5">
        <f>Table341011121318141516[[#This Row],[  85-89]]-Table341011[[#This Row],[  85-89]]</f>
        <v>0</v>
      </c>
      <c r="T36" s="5">
        <f>Table341011121318141516[[#This Row],[  90+]]-Table341011[[#This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Table341011121318141516[[#This Row],[Total]]-Table341011[[#This Row],[Total]]</f>
        <v>-1066</v>
      </c>
      <c r="D37" s="38">
        <f>Table341011121318141516[[#This Row],[  5-11]]-Table341011[[#This Row],[  5-11]]</f>
        <v>-13</v>
      </c>
      <c r="E37" s="38">
        <f>Table341011121318141516[[#This Row],[  12-17]]-Table341011[[#This Row],[  12-17]]</f>
        <v>-52</v>
      </c>
      <c r="F37" s="38">
        <f>Table341011121318141516[[#This Row],[  18-24]]-Table341011[[#This Row],[  18-24]]</f>
        <v>-101</v>
      </c>
      <c r="G37" s="5">
        <f>Table341011121318141516[[#This Row],[  25-29 ]]-Table341011[[#This Row],[  25-29 ]]</f>
        <v>-118</v>
      </c>
      <c r="H37" s="5">
        <f>Table341011121318141516[[#This Row],[  30-34]]-Table341011[[#This Row],[  30-34]]</f>
        <v>-115</v>
      </c>
      <c r="I37" s="5">
        <f>Table341011121318141516[[#This Row],[  35-39]]-Table341011[[#This Row],[  35-39]]</f>
        <v>-105</v>
      </c>
      <c r="J37" s="5">
        <f>Table341011121318141516[[#This Row],[  40-44]]-Table341011[[#This Row],[  40-44]]</f>
        <v>-69</v>
      </c>
      <c r="K37" s="5">
        <f>Table341011121318141516[[#This Row],[  45-49 ]]-Table341011[[#This Row],[  45-49 ]]</f>
        <v>-77</v>
      </c>
      <c r="L37" s="5">
        <f>Table341011121318141516[[#This Row],[  50-54]]-Table341011[[#This Row],[  50-54]]</f>
        <v>-95</v>
      </c>
      <c r="M37" s="5">
        <f>Table341011121318141516[[#This Row],[  55-59]]-Table341011[[#This Row],[  55-59]]</f>
        <v>-99</v>
      </c>
      <c r="N37" s="5">
        <f>Table341011121318141516[[#This Row],[  60-64]]-Table341011[[#This Row],[  60-64]]</f>
        <v>-82</v>
      </c>
      <c r="O37" s="5">
        <f>Table341011121318141516[[#This Row],[  65-69]]-Table341011[[#This Row],[  65-69]]</f>
        <v>-60</v>
      </c>
      <c r="P37" s="5">
        <f>Table341011121318141516[[#This Row],[  70-74]]-Table341011[[#This Row],[  70-74]]</f>
        <v>-33</v>
      </c>
      <c r="Q37" s="5">
        <f>Table341011121318141516[[#This Row],[  75-79]]-Table341011[[#This Row],[  75-79]]</f>
        <v>-15</v>
      </c>
      <c r="R37" s="5">
        <f>Table341011121318141516[[#This Row],[  80-84]]-Table341011[[#This Row],[  80-84]]</f>
        <v>-21</v>
      </c>
      <c r="S37" s="5">
        <f>Table341011121318141516[[#This Row],[  85-89]]-Table341011[[#This Row],[  85-89]]</f>
        <v>-6</v>
      </c>
      <c r="T37" s="5">
        <f>Table341011121318141516[[#This Row],[  90+]]-Table341011[[#This Row],[  90+]]</f>
        <v>-5</v>
      </c>
    </row>
    <row r="38" spans="1:20" x14ac:dyDescent="0.2">
      <c r="A38" s="9" t="s">
        <v>13</v>
      </c>
      <c r="B38" s="6" t="s">
        <v>22</v>
      </c>
      <c r="C38" s="5">
        <f>Table341011121318141516[[#This Row],[Total]]-Table341011[[#This Row],[Total]]</f>
        <v>8814</v>
      </c>
      <c r="D38" s="38">
        <f>Table341011121318141516[[#This Row],[  5-11]]-Table341011[[#This Row],[  5-11]]</f>
        <v>5114.1304677726966</v>
      </c>
      <c r="E38" s="38">
        <f>Table341011121318141516[[#This Row],[  12-17]]-Table341011[[#This Row],[  12-17]]</f>
        <v>43.092139532021974</v>
      </c>
      <c r="F38" s="38">
        <f>Table341011121318141516[[#This Row],[  18-24]]-Table341011[[#This Row],[  18-24]]</f>
        <v>-249.22260730471862</v>
      </c>
      <c r="G38" s="5">
        <f>Table341011121318141516[[#This Row],[  25-29 ]]-Table341011[[#This Row],[  25-29 ]]</f>
        <v>446</v>
      </c>
      <c r="H38" s="5">
        <f>Table341011121318141516[[#This Row],[  30-34]]-Table341011[[#This Row],[  30-34]]</f>
        <v>460</v>
      </c>
      <c r="I38" s="5">
        <f>Table341011121318141516[[#This Row],[  35-39]]-Table341011[[#This Row],[  35-39]]</f>
        <v>257</v>
      </c>
      <c r="J38" s="5">
        <f>Table341011121318141516[[#This Row],[  40-44]]-Table341011[[#This Row],[  40-44]]</f>
        <v>480</v>
      </c>
      <c r="K38" s="5">
        <f>Table341011121318141516[[#This Row],[  45-49 ]]-Table341011[[#This Row],[  45-49 ]]</f>
        <v>465</v>
      </c>
      <c r="L38" s="5">
        <f>Table341011121318141516[[#This Row],[  50-54]]-Table341011[[#This Row],[  50-54]]</f>
        <v>337</v>
      </c>
      <c r="M38" s="5">
        <f>Table341011121318141516[[#This Row],[  55-59]]-Table341011[[#This Row],[  55-59]]</f>
        <v>517</v>
      </c>
      <c r="N38" s="5">
        <f>Table341011121318141516[[#This Row],[  60-64]]-Table341011[[#This Row],[  60-64]]</f>
        <v>292</v>
      </c>
      <c r="O38" s="5">
        <f>Table341011121318141516[[#This Row],[  65-69]]-Table341011[[#This Row],[  65-69]]</f>
        <v>300</v>
      </c>
      <c r="P38" s="5">
        <f>Table341011121318141516[[#This Row],[  70-74]]-Table341011[[#This Row],[  70-74]]</f>
        <v>279</v>
      </c>
      <c r="Q38" s="5">
        <f>Table341011121318141516[[#This Row],[  75-79]]-Table341011[[#This Row],[  75-79]]</f>
        <v>-62</v>
      </c>
      <c r="R38" s="5">
        <f>Table341011121318141516[[#This Row],[  80-84]]-Table341011[[#This Row],[  80-84]]</f>
        <v>-5</v>
      </c>
      <c r="S38" s="5">
        <f>Table341011121318141516[[#This Row],[  85-89]]-Table341011[[#This Row],[  85-89]]</f>
        <v>98</v>
      </c>
      <c r="T38" s="5">
        <f>Table341011121318141516[[#This Row],[  90+]]-Table341011[[#This Row],[  90+]]</f>
        <v>42</v>
      </c>
    </row>
    <row r="39" spans="1:20" x14ac:dyDescent="0.2">
      <c r="A39" s="9" t="s">
        <v>13</v>
      </c>
      <c r="B39" s="6" t="s">
        <v>0</v>
      </c>
      <c r="C39" s="5">
        <f>Table341011121318141516[[#This Row],[Total]]-Table341011[[#This Row],[Total]]</f>
        <v>4341</v>
      </c>
      <c r="D39" s="38">
        <f>Table341011121318141516[[#This Row],[  5-11]]-Table341011[[#This Row],[  5-11]]</f>
        <v>2735.4027794417157</v>
      </c>
      <c r="E39" s="38">
        <f>Table341011121318141516[[#This Row],[  12-17]]-Table341011[[#This Row],[  12-17]]</f>
        <v>47.189688910187442</v>
      </c>
      <c r="F39" s="38">
        <f>Table341011121318141516[[#This Row],[  18-24]]-Table341011[[#This Row],[  18-24]]</f>
        <v>-217.59246835190288</v>
      </c>
      <c r="G39" s="5">
        <f>Table341011121318141516[[#This Row],[  25-29 ]]-Table341011[[#This Row],[  25-29 ]]</f>
        <v>251</v>
      </c>
      <c r="H39" s="5">
        <f>Table341011121318141516[[#This Row],[  30-34]]-Table341011[[#This Row],[  30-34]]</f>
        <v>206</v>
      </c>
      <c r="I39" s="5">
        <f>Table341011121318141516[[#This Row],[  35-39]]-Table341011[[#This Row],[  35-39]]</f>
        <v>102</v>
      </c>
      <c r="J39" s="5">
        <f>Table341011121318141516[[#This Row],[  40-44]]-Table341011[[#This Row],[  40-44]]</f>
        <v>260</v>
      </c>
      <c r="K39" s="5">
        <f>Table341011121318141516[[#This Row],[  45-49 ]]-Table341011[[#This Row],[  45-49 ]]</f>
        <v>192</v>
      </c>
      <c r="L39" s="5">
        <f>Table341011121318141516[[#This Row],[  50-54]]-Table341011[[#This Row],[  50-54]]</f>
        <v>136</v>
      </c>
      <c r="M39" s="5">
        <f>Table341011121318141516[[#This Row],[  55-59]]-Table341011[[#This Row],[  55-59]]</f>
        <v>272</v>
      </c>
      <c r="N39" s="5">
        <f>Table341011121318141516[[#This Row],[  60-64]]-Table341011[[#This Row],[  60-64]]</f>
        <v>118</v>
      </c>
      <c r="O39" s="5">
        <f>Table341011121318141516[[#This Row],[  65-69]]-Table341011[[#This Row],[  65-69]]</f>
        <v>116</v>
      </c>
      <c r="P39" s="5">
        <f>Table341011121318141516[[#This Row],[  70-74]]-Table341011[[#This Row],[  70-74]]</f>
        <v>158</v>
      </c>
      <c r="Q39" s="5">
        <f>Table341011121318141516[[#This Row],[  75-79]]-Table341011[[#This Row],[  75-79]]</f>
        <v>-35</v>
      </c>
      <c r="R39" s="5">
        <f>Table341011121318141516[[#This Row],[  80-84]]-Table341011[[#This Row],[  80-84]]</f>
        <v>-58</v>
      </c>
      <c r="S39" s="5">
        <f>Table341011121318141516[[#This Row],[  85-89]]-Table341011[[#This Row],[  85-89]]</f>
        <v>67</v>
      </c>
      <c r="T39" s="5">
        <f>Table341011121318141516[[#This Row],[  90+]]-Table341011[[#This Row],[  90+]]</f>
        <v>-9</v>
      </c>
    </row>
    <row r="40" spans="1:20" x14ac:dyDescent="0.2">
      <c r="A40" s="9" t="s">
        <v>13</v>
      </c>
      <c r="B40" s="6" t="s">
        <v>23</v>
      </c>
      <c r="C40" s="5">
        <f>Table341011121318141516[[#This Row],[Total]]-Table341011[[#This Row],[Total]]</f>
        <v>4473</v>
      </c>
      <c r="D40" s="38">
        <f>Table341011121318141516[[#This Row],[  5-11]]-Table341011[[#This Row],[  5-11]]</f>
        <v>2378.5218903480113</v>
      </c>
      <c r="E40" s="38">
        <f>Table341011121318141516[[#This Row],[  12-17]]-Table341011[[#This Row],[  12-17]]</f>
        <v>-3.7753841613794066</v>
      </c>
      <c r="F40" s="38">
        <f>Table341011121318141516[[#This Row],[  18-24]]-Table341011[[#This Row],[  18-24]]</f>
        <v>-31.746506186631677</v>
      </c>
      <c r="G40" s="5">
        <f>Table341011121318141516[[#This Row],[  25-29 ]]-Table341011[[#This Row],[  25-29 ]]</f>
        <v>195</v>
      </c>
      <c r="H40" s="5">
        <f>Table341011121318141516[[#This Row],[  30-34]]-Table341011[[#This Row],[  30-34]]</f>
        <v>254</v>
      </c>
      <c r="I40" s="5">
        <f>Table341011121318141516[[#This Row],[  35-39]]-Table341011[[#This Row],[  35-39]]</f>
        <v>155</v>
      </c>
      <c r="J40" s="5">
        <f>Table341011121318141516[[#This Row],[  40-44]]-Table341011[[#This Row],[  40-44]]</f>
        <v>220</v>
      </c>
      <c r="K40" s="5">
        <f>Table341011121318141516[[#This Row],[  45-49 ]]-Table341011[[#This Row],[  45-49 ]]</f>
        <v>273</v>
      </c>
      <c r="L40" s="5">
        <f>Table341011121318141516[[#This Row],[  50-54]]-Table341011[[#This Row],[  50-54]]</f>
        <v>201</v>
      </c>
      <c r="M40" s="5">
        <f>Table341011121318141516[[#This Row],[  55-59]]-Table341011[[#This Row],[  55-59]]</f>
        <v>245</v>
      </c>
      <c r="N40" s="5">
        <f>Table341011121318141516[[#This Row],[  60-64]]-Table341011[[#This Row],[  60-64]]</f>
        <v>174</v>
      </c>
      <c r="O40" s="5">
        <f>Table341011121318141516[[#This Row],[  65-69]]-Table341011[[#This Row],[  65-69]]</f>
        <v>184</v>
      </c>
      <c r="P40" s="5">
        <f>Table341011121318141516[[#This Row],[  70-74]]-Table341011[[#This Row],[  70-74]]</f>
        <v>121</v>
      </c>
      <c r="Q40" s="5">
        <f>Table341011121318141516[[#This Row],[  75-79]]-Table341011[[#This Row],[  75-79]]</f>
        <v>-27</v>
      </c>
      <c r="R40" s="5">
        <f>Table341011121318141516[[#This Row],[  80-84]]-Table341011[[#This Row],[  80-84]]</f>
        <v>53</v>
      </c>
      <c r="S40" s="5">
        <f>Table341011121318141516[[#This Row],[  85-89]]-Table341011[[#This Row],[  85-89]]</f>
        <v>31</v>
      </c>
      <c r="T40" s="5">
        <f>Table341011121318141516[[#This Row],[  90+]]-Table341011[[#This Row],[  90+]]</f>
        <v>51</v>
      </c>
    </row>
    <row r="41" spans="1:20" x14ac:dyDescent="0.2">
      <c r="A41" s="9" t="s">
        <v>14</v>
      </c>
      <c r="B41" s="6" t="s">
        <v>22</v>
      </c>
      <c r="C41" s="5">
        <f>Table341011121318141516[[#This Row],[Total]]-Table341011[[#This Row],[Total]]</f>
        <v>44318</v>
      </c>
      <c r="D41" s="38">
        <f>Table341011121318141516[[#This Row],[  5-11]]-Table341011[[#This Row],[  5-11]]</f>
        <v>33777.820663207764</v>
      </c>
      <c r="E41" s="38">
        <f>Table341011121318141516[[#This Row],[  12-17]]-Table341011[[#This Row],[  12-17]]</f>
        <v>4752.6896007218566</v>
      </c>
      <c r="F41" s="38">
        <f>Table341011121318141516[[#This Row],[  18-24]]-Table341011[[#This Row],[  18-24]]</f>
        <v>-12138.510263929616</v>
      </c>
      <c r="G41" s="5">
        <f>Table341011121318141516[[#This Row],[  25-29 ]]-Table341011[[#This Row],[  25-29 ]]</f>
        <v>2934</v>
      </c>
      <c r="H41" s="5">
        <f>Table341011121318141516[[#This Row],[  30-34]]-Table341011[[#This Row],[  30-34]]</f>
        <v>1481</v>
      </c>
      <c r="I41" s="5">
        <f>Table341011121318141516[[#This Row],[  35-39]]-Table341011[[#This Row],[  35-39]]</f>
        <v>1465</v>
      </c>
      <c r="J41" s="5">
        <f>Table341011121318141516[[#This Row],[  40-44]]-Table341011[[#This Row],[  40-44]]</f>
        <v>1582</v>
      </c>
      <c r="K41" s="5">
        <f>Table341011121318141516[[#This Row],[  45-49 ]]-Table341011[[#This Row],[  45-49 ]]</f>
        <v>2504</v>
      </c>
      <c r="L41" s="5">
        <f>Table341011121318141516[[#This Row],[  50-54]]-Table341011[[#This Row],[  50-54]]</f>
        <v>1841</v>
      </c>
      <c r="M41" s="5">
        <f>Table341011121318141516[[#This Row],[  55-59]]-Table341011[[#This Row],[  55-59]]</f>
        <v>2698</v>
      </c>
      <c r="N41" s="5">
        <f>Table341011121318141516[[#This Row],[  60-64]]-Table341011[[#This Row],[  60-64]]</f>
        <v>1047</v>
      </c>
      <c r="O41" s="5">
        <f>Table341011121318141516[[#This Row],[  65-69]]-Table341011[[#This Row],[  65-69]]</f>
        <v>917</v>
      </c>
      <c r="P41" s="5">
        <f>Table341011121318141516[[#This Row],[  70-74]]-Table341011[[#This Row],[  70-74]]</f>
        <v>1098</v>
      </c>
      <c r="Q41" s="5">
        <f>Table341011121318141516[[#This Row],[  75-79]]-Table341011[[#This Row],[  75-79]]</f>
        <v>-417</v>
      </c>
      <c r="R41" s="5">
        <f>Table341011121318141516[[#This Row],[  80-84]]-Table341011[[#This Row],[  80-84]]</f>
        <v>239</v>
      </c>
      <c r="S41" s="5">
        <f>Table341011121318141516[[#This Row],[  85-89]]-Table341011[[#This Row],[  85-89]]</f>
        <v>222</v>
      </c>
      <c r="T41" s="5">
        <f>Table341011121318141516[[#This Row],[  90+]]-Table341011[[#This Row],[  90+]]</f>
        <v>315</v>
      </c>
    </row>
    <row r="42" spans="1:20" x14ac:dyDescent="0.2">
      <c r="A42" s="9" t="s">
        <v>14</v>
      </c>
      <c r="B42" s="6" t="s">
        <v>0</v>
      </c>
      <c r="C42" s="5">
        <f>Table341011121318141516[[#This Row],[Total]]-Table341011[[#This Row],[Total]]</f>
        <v>22672</v>
      </c>
      <c r="D42" s="38">
        <f>Table341011121318141516[[#This Row],[  5-11]]-Table341011[[#This Row],[  5-11]]</f>
        <v>17008.984425542112</v>
      </c>
      <c r="E42" s="38">
        <f>Table341011121318141516[[#This Row],[  12-17]]-Table341011[[#This Row],[  12-17]]</f>
        <v>2102.5118006469402</v>
      </c>
      <c r="F42" s="38">
        <f>Table341011121318141516[[#This Row],[  18-24]]-Table341011[[#This Row],[  18-24]]</f>
        <v>-5201.4962261890505</v>
      </c>
      <c r="G42" s="5">
        <f>Table341011121318141516[[#This Row],[  25-29 ]]-Table341011[[#This Row],[  25-29 ]]</f>
        <v>1653</v>
      </c>
      <c r="H42" s="5">
        <f>Table341011121318141516[[#This Row],[  30-34]]-Table341011[[#This Row],[  30-34]]</f>
        <v>671</v>
      </c>
      <c r="I42" s="5">
        <f>Table341011121318141516[[#This Row],[  35-39]]-Table341011[[#This Row],[  35-39]]</f>
        <v>660</v>
      </c>
      <c r="J42" s="5">
        <f>Table341011121318141516[[#This Row],[  40-44]]-Table341011[[#This Row],[  40-44]]</f>
        <v>883</v>
      </c>
      <c r="K42" s="5">
        <f>Table341011121318141516[[#This Row],[  45-49 ]]-Table341011[[#This Row],[  45-49 ]]</f>
        <v>1257</v>
      </c>
      <c r="L42" s="5">
        <f>Table341011121318141516[[#This Row],[  50-54]]-Table341011[[#This Row],[  50-54]]</f>
        <v>877</v>
      </c>
      <c r="M42" s="5">
        <f>Table341011121318141516[[#This Row],[  55-59]]-Table341011[[#This Row],[  55-59]]</f>
        <v>1455</v>
      </c>
      <c r="N42" s="5">
        <f>Table341011121318141516[[#This Row],[  60-64]]-Table341011[[#This Row],[  60-64]]</f>
        <v>473</v>
      </c>
      <c r="O42" s="5">
        <f>Table341011121318141516[[#This Row],[  65-69]]-Table341011[[#This Row],[  65-69]]</f>
        <v>319</v>
      </c>
      <c r="P42" s="5">
        <f>Table341011121318141516[[#This Row],[  70-74]]-Table341011[[#This Row],[  70-74]]</f>
        <v>479</v>
      </c>
      <c r="Q42" s="5">
        <f>Table341011121318141516[[#This Row],[  75-79]]-Table341011[[#This Row],[  75-79]]</f>
        <v>-249</v>
      </c>
      <c r="R42" s="5">
        <f>Table341011121318141516[[#This Row],[  80-84]]-Table341011[[#This Row],[  80-84]]</f>
        <v>113</v>
      </c>
      <c r="S42" s="5">
        <f>Table341011121318141516[[#This Row],[  85-89]]-Table341011[[#This Row],[  85-89]]</f>
        <v>37</v>
      </c>
      <c r="T42" s="5">
        <f>Table341011121318141516[[#This Row],[  90+]]-Table341011[[#This Row],[  90+]]</f>
        <v>134</v>
      </c>
    </row>
    <row r="43" spans="1:20" x14ac:dyDescent="0.2">
      <c r="A43" s="9" t="s">
        <v>14</v>
      </c>
      <c r="B43" s="6" t="s">
        <v>23</v>
      </c>
      <c r="C43" s="5">
        <f>Table341011121318141516[[#This Row],[Total]]-Table341011[[#This Row],[Total]]</f>
        <v>21646</v>
      </c>
      <c r="D43" s="38">
        <f>Table341011121318141516[[#This Row],[  5-11]]-Table341011[[#This Row],[  5-11]]</f>
        <v>16768.778567062247</v>
      </c>
      <c r="E43" s="38">
        <f>Table341011121318141516[[#This Row],[  12-17]]-Table341011[[#This Row],[  12-17]]</f>
        <v>2650.0875403132304</v>
      </c>
      <c r="F43" s="38">
        <f>Table341011121318141516[[#This Row],[  18-24]]-Table341011[[#This Row],[  18-24]]</f>
        <v>-6936.8661073754756</v>
      </c>
      <c r="G43" s="5">
        <f>Table341011121318141516[[#This Row],[  25-29 ]]-Table341011[[#This Row],[  25-29 ]]</f>
        <v>1281</v>
      </c>
      <c r="H43" s="5">
        <f>Table341011121318141516[[#This Row],[  30-34]]-Table341011[[#This Row],[  30-34]]</f>
        <v>810</v>
      </c>
      <c r="I43" s="5">
        <f>Table341011121318141516[[#This Row],[  35-39]]-Table341011[[#This Row],[  35-39]]</f>
        <v>805</v>
      </c>
      <c r="J43" s="5">
        <f>Table341011121318141516[[#This Row],[  40-44]]-Table341011[[#This Row],[  40-44]]</f>
        <v>699</v>
      </c>
      <c r="K43" s="5">
        <f>Table341011121318141516[[#This Row],[  45-49 ]]-Table341011[[#This Row],[  45-49 ]]</f>
        <v>1247</v>
      </c>
      <c r="L43" s="5">
        <f>Table341011121318141516[[#This Row],[  50-54]]-Table341011[[#This Row],[  50-54]]</f>
        <v>964</v>
      </c>
      <c r="M43" s="5">
        <f>Table341011121318141516[[#This Row],[  55-59]]-Table341011[[#This Row],[  55-59]]</f>
        <v>1243</v>
      </c>
      <c r="N43" s="5">
        <f>Table341011121318141516[[#This Row],[  60-64]]-Table341011[[#This Row],[  60-64]]</f>
        <v>574</v>
      </c>
      <c r="O43" s="5">
        <f>Table341011121318141516[[#This Row],[  65-69]]-Table341011[[#This Row],[  65-69]]</f>
        <v>598</v>
      </c>
      <c r="P43" s="5">
        <f>Table341011121318141516[[#This Row],[  70-74]]-Table341011[[#This Row],[  70-74]]</f>
        <v>619</v>
      </c>
      <c r="Q43" s="5">
        <f>Table341011121318141516[[#This Row],[  75-79]]-Table341011[[#This Row],[  75-79]]</f>
        <v>-168</v>
      </c>
      <c r="R43" s="5">
        <f>Table341011121318141516[[#This Row],[  80-84]]-Table341011[[#This Row],[  80-84]]</f>
        <v>126</v>
      </c>
      <c r="S43" s="5">
        <f>Table341011121318141516[[#This Row],[  85-89]]-Table341011[[#This Row],[  85-89]]</f>
        <v>185</v>
      </c>
      <c r="T43" s="5">
        <f>Table341011121318141516[[#This Row],[  90+]]-Table341011[[#This Row],[  90+]]</f>
        <v>181</v>
      </c>
    </row>
    <row r="44" spans="1:20" x14ac:dyDescent="0.2">
      <c r="A44" s="9" t="s">
        <v>15</v>
      </c>
      <c r="B44" s="6" t="s">
        <v>22</v>
      </c>
      <c r="C44" s="5">
        <f>Table341011121318141516[[#This Row],[Total]]-Table341011[[#This Row],[Total]]</f>
        <v>8393</v>
      </c>
      <c r="D44" s="38">
        <f>Table341011121318141516[[#This Row],[  5-11]]-Table341011[[#This Row],[  5-11]]</f>
        <v>5136.3704653118148</v>
      </c>
      <c r="E44" s="38">
        <f>Table341011121318141516[[#This Row],[  12-17]]-Table341011[[#This Row],[  12-17]]</f>
        <v>191.52742858314696</v>
      </c>
      <c r="F44" s="38">
        <f>Table341011121318141516[[#This Row],[  18-24]]-Table341011[[#This Row],[  18-24]]</f>
        <v>-141.89789389496127</v>
      </c>
      <c r="G44" s="5">
        <f>Table341011121318141516[[#This Row],[  25-29 ]]-Table341011[[#This Row],[  25-29 ]]</f>
        <v>352</v>
      </c>
      <c r="H44" s="5">
        <f>Table341011121318141516[[#This Row],[  30-34]]-Table341011[[#This Row],[  30-34]]</f>
        <v>243</v>
      </c>
      <c r="I44" s="5">
        <f>Table341011121318141516[[#This Row],[  35-39]]-Table341011[[#This Row],[  35-39]]</f>
        <v>224</v>
      </c>
      <c r="J44" s="5">
        <f>Table341011121318141516[[#This Row],[  40-44]]-Table341011[[#This Row],[  40-44]]</f>
        <v>320</v>
      </c>
      <c r="K44" s="5">
        <f>Table341011121318141516[[#This Row],[  45-49 ]]-Table341011[[#This Row],[  45-49 ]]</f>
        <v>544</v>
      </c>
      <c r="L44" s="5">
        <f>Table341011121318141516[[#This Row],[  50-54]]-Table341011[[#This Row],[  50-54]]</f>
        <v>381</v>
      </c>
      <c r="M44" s="5">
        <f>Table341011121318141516[[#This Row],[  55-59]]-Table341011[[#This Row],[  55-59]]</f>
        <v>453</v>
      </c>
      <c r="N44" s="5">
        <f>Table341011121318141516[[#This Row],[  60-64]]-Table341011[[#This Row],[  60-64]]</f>
        <v>257</v>
      </c>
      <c r="O44" s="5">
        <f>Table341011121318141516[[#This Row],[  65-69]]-Table341011[[#This Row],[  65-69]]</f>
        <v>300</v>
      </c>
      <c r="P44" s="5">
        <f>Table341011121318141516[[#This Row],[  70-74]]-Table341011[[#This Row],[  70-74]]</f>
        <v>115</v>
      </c>
      <c r="Q44" s="5">
        <f>Table341011121318141516[[#This Row],[  75-79]]-Table341011[[#This Row],[  75-79]]</f>
        <v>-10</v>
      </c>
      <c r="R44" s="5">
        <f>Table341011121318141516[[#This Row],[  80-84]]-Table341011[[#This Row],[  80-84]]</f>
        <v>7</v>
      </c>
      <c r="S44" s="5">
        <f>Table341011121318141516[[#This Row],[  85-89]]-Table341011[[#This Row],[  85-89]]</f>
        <v>43</v>
      </c>
      <c r="T44" s="5">
        <f>Table341011121318141516[[#This Row],[  90+]]-Table341011[[#This Row],[  90+]]</f>
        <v>-22</v>
      </c>
    </row>
    <row r="45" spans="1:20" x14ac:dyDescent="0.2">
      <c r="A45" s="9" t="s">
        <v>15</v>
      </c>
      <c r="B45" s="6" t="s">
        <v>0</v>
      </c>
      <c r="C45" s="5">
        <f>Table341011121318141516[[#This Row],[Total]]-Table341011[[#This Row],[Total]]</f>
        <v>4274</v>
      </c>
      <c r="D45" s="38">
        <f>Table341011121318141516[[#This Row],[  5-11]]-Table341011[[#This Row],[  5-11]]</f>
        <v>2665.2112136096803</v>
      </c>
      <c r="E45" s="38">
        <f>Table341011121318141516[[#This Row],[  12-17]]-Table341011[[#This Row],[  12-17]]</f>
        <v>118.35150353420408</v>
      </c>
      <c r="F45" s="38">
        <f>Table341011121318141516[[#This Row],[  18-24]]-Table341011[[#This Row],[  18-24]]</f>
        <v>-117.56271714388413</v>
      </c>
      <c r="G45" s="5">
        <f>Table341011121318141516[[#This Row],[  25-29 ]]-Table341011[[#This Row],[  25-29 ]]</f>
        <v>190</v>
      </c>
      <c r="H45" s="5">
        <f>Table341011121318141516[[#This Row],[  30-34]]-Table341011[[#This Row],[  30-34]]</f>
        <v>36</v>
      </c>
      <c r="I45" s="5">
        <f>Table341011121318141516[[#This Row],[  35-39]]-Table341011[[#This Row],[  35-39]]</f>
        <v>89</v>
      </c>
      <c r="J45" s="5">
        <f>Table341011121318141516[[#This Row],[  40-44]]-Table341011[[#This Row],[  40-44]]</f>
        <v>260</v>
      </c>
      <c r="K45" s="5">
        <f>Table341011121318141516[[#This Row],[  45-49 ]]-Table341011[[#This Row],[  45-49 ]]</f>
        <v>294</v>
      </c>
      <c r="L45" s="5">
        <f>Table341011121318141516[[#This Row],[  50-54]]-Table341011[[#This Row],[  50-54]]</f>
        <v>184</v>
      </c>
      <c r="M45" s="5">
        <f>Table341011121318141516[[#This Row],[  55-59]]-Table341011[[#This Row],[  55-59]]</f>
        <v>236</v>
      </c>
      <c r="N45" s="5">
        <f>Table341011121318141516[[#This Row],[  60-64]]-Table341011[[#This Row],[  60-64]]</f>
        <v>174</v>
      </c>
      <c r="O45" s="5">
        <f>Table341011121318141516[[#This Row],[  65-69]]-Table341011[[#This Row],[  65-69]]</f>
        <v>133</v>
      </c>
      <c r="P45" s="5">
        <f>Table341011121318141516[[#This Row],[  70-74]]-Table341011[[#This Row],[  70-74]]</f>
        <v>29</v>
      </c>
      <c r="Q45" s="5">
        <f>Table341011121318141516[[#This Row],[  75-79]]-Table341011[[#This Row],[  75-79]]</f>
        <v>-8</v>
      </c>
      <c r="R45" s="5">
        <f>Table341011121318141516[[#This Row],[  80-84]]-Table341011[[#This Row],[  80-84]]</f>
        <v>-21</v>
      </c>
      <c r="S45" s="5">
        <f>Table341011121318141516[[#This Row],[  85-89]]-Table341011[[#This Row],[  85-89]]</f>
        <v>34</v>
      </c>
      <c r="T45" s="5">
        <f>Table341011121318141516[[#This Row],[  90+]]-Table341011[[#This Row],[  90+]]</f>
        <v>-22</v>
      </c>
    </row>
    <row r="46" spans="1:20" x14ac:dyDescent="0.2">
      <c r="A46" s="9" t="s">
        <v>15</v>
      </c>
      <c r="B46" s="6" t="s">
        <v>23</v>
      </c>
      <c r="C46" s="5">
        <f>Table341011121318141516[[#This Row],[Total]]-Table341011[[#This Row],[Total]]</f>
        <v>4119</v>
      </c>
      <c r="D46" s="38">
        <f>Table341011121318141516[[#This Row],[  5-11]]-Table341011[[#This Row],[  5-11]]</f>
        <v>2471.0326932400244</v>
      </c>
      <c r="E46" s="38">
        <f>Table341011121318141516[[#This Row],[  12-17]]-Table341011[[#This Row],[  12-17]]</f>
        <v>73.361944309774117</v>
      </c>
      <c r="F46" s="38">
        <f>Table341011121318141516[[#This Row],[  18-24]]-Table341011[[#This Row],[  18-24]]</f>
        <v>-24.394637549798517</v>
      </c>
      <c r="G46" s="5">
        <f>Table341011121318141516[[#This Row],[  25-29 ]]-Table341011[[#This Row],[  25-29 ]]</f>
        <v>162</v>
      </c>
      <c r="H46" s="5">
        <f>Table341011121318141516[[#This Row],[  30-34]]-Table341011[[#This Row],[  30-34]]</f>
        <v>207</v>
      </c>
      <c r="I46" s="5">
        <f>Table341011121318141516[[#This Row],[  35-39]]-Table341011[[#This Row],[  35-39]]</f>
        <v>135</v>
      </c>
      <c r="J46" s="5">
        <f>Table341011121318141516[[#This Row],[  40-44]]-Table341011[[#This Row],[  40-44]]</f>
        <v>60</v>
      </c>
      <c r="K46" s="5">
        <f>Table341011121318141516[[#This Row],[  45-49 ]]-Table341011[[#This Row],[  45-49 ]]</f>
        <v>250</v>
      </c>
      <c r="L46" s="5">
        <f>Table341011121318141516[[#This Row],[  50-54]]-Table341011[[#This Row],[  50-54]]</f>
        <v>197</v>
      </c>
      <c r="M46" s="5">
        <f>Table341011121318141516[[#This Row],[  55-59]]-Table341011[[#This Row],[  55-59]]</f>
        <v>217</v>
      </c>
      <c r="N46" s="5">
        <f>Table341011121318141516[[#This Row],[  60-64]]-Table341011[[#This Row],[  60-64]]</f>
        <v>83</v>
      </c>
      <c r="O46" s="5">
        <f>Table341011121318141516[[#This Row],[  65-69]]-Table341011[[#This Row],[  65-69]]</f>
        <v>167</v>
      </c>
      <c r="P46" s="5">
        <f>Table341011121318141516[[#This Row],[  70-74]]-Table341011[[#This Row],[  70-74]]</f>
        <v>86</v>
      </c>
      <c r="Q46" s="5">
        <f>Table341011121318141516[[#This Row],[  75-79]]-Table341011[[#This Row],[  75-79]]</f>
        <v>-2</v>
      </c>
      <c r="R46" s="5">
        <f>Table341011121318141516[[#This Row],[  80-84]]-Table341011[[#This Row],[  80-84]]</f>
        <v>28</v>
      </c>
      <c r="S46" s="5">
        <f>Table341011121318141516[[#This Row],[  85-89]]-Table341011[[#This Row],[  85-89]]</f>
        <v>9</v>
      </c>
      <c r="T46" s="5">
        <f>Table341011121318141516[[#This Row],[  90+]]-Table341011[[#This Row],[  90+]]</f>
        <v>0</v>
      </c>
    </row>
    <row r="47" spans="1:20" x14ac:dyDescent="0.2">
      <c r="A47" s="9" t="s">
        <v>16</v>
      </c>
      <c r="B47" s="6" t="s">
        <v>22</v>
      </c>
      <c r="C47" s="5">
        <f>Table341011121318141516[[#This Row],[Total]]-Table341011[[#This Row],[Total]]</f>
        <v>20291</v>
      </c>
      <c r="D47" s="38">
        <f>Table341011121318141516[[#This Row],[  5-11]]-Table341011[[#This Row],[  5-11]]</f>
        <v>11790.644074400672</v>
      </c>
      <c r="E47" s="38">
        <f>Table341011121318141516[[#This Row],[  12-17]]-Table341011[[#This Row],[  12-17]]</f>
        <v>396.97309435432544</v>
      </c>
      <c r="F47" s="38">
        <f>Table341011121318141516[[#This Row],[  18-24]]-Table341011[[#This Row],[  18-24]]</f>
        <v>24.382831245001398</v>
      </c>
      <c r="G47" s="5">
        <f>Table341011121318141516[[#This Row],[  25-29 ]]-Table341011[[#This Row],[  25-29 ]]</f>
        <v>1235</v>
      </c>
      <c r="H47" s="5">
        <f>Table341011121318141516[[#This Row],[  30-34]]-Table341011[[#This Row],[  30-34]]</f>
        <v>1038</v>
      </c>
      <c r="I47" s="5">
        <f>Table341011121318141516[[#This Row],[  35-39]]-Table341011[[#This Row],[  35-39]]</f>
        <v>914</v>
      </c>
      <c r="J47" s="5">
        <f>Table341011121318141516[[#This Row],[  40-44]]-Table341011[[#This Row],[  40-44]]</f>
        <v>901</v>
      </c>
      <c r="K47" s="5">
        <f>Table341011121318141516[[#This Row],[  45-49 ]]-Table341011[[#This Row],[  45-49 ]]</f>
        <v>1157</v>
      </c>
      <c r="L47" s="5">
        <f>Table341011121318141516[[#This Row],[  50-54]]-Table341011[[#This Row],[  50-54]]</f>
        <v>888</v>
      </c>
      <c r="M47" s="5">
        <f>Table341011121318141516[[#This Row],[  55-59]]-Table341011[[#This Row],[  55-59]]</f>
        <v>1073</v>
      </c>
      <c r="N47" s="5">
        <f>Table341011121318141516[[#This Row],[  60-64]]-Table341011[[#This Row],[  60-64]]</f>
        <v>474</v>
      </c>
      <c r="O47" s="5">
        <f>Table341011121318141516[[#This Row],[  65-69]]-Table341011[[#This Row],[  65-69]]</f>
        <v>165</v>
      </c>
      <c r="P47" s="5">
        <f>Table341011121318141516[[#This Row],[  70-74]]-Table341011[[#This Row],[  70-74]]</f>
        <v>269</v>
      </c>
      <c r="Q47" s="5">
        <f>Table341011121318141516[[#This Row],[  75-79]]-Table341011[[#This Row],[  75-79]]</f>
        <v>-138</v>
      </c>
      <c r="R47" s="5">
        <f>Table341011121318141516[[#This Row],[  80-84]]-Table341011[[#This Row],[  80-84]]</f>
        <v>37</v>
      </c>
      <c r="S47" s="5">
        <f>Table341011121318141516[[#This Row],[  85-89]]-Table341011[[#This Row],[  85-89]]</f>
        <v>66</v>
      </c>
      <c r="T47" s="5">
        <f>Table341011121318141516[[#This Row],[  90+]]-Table341011[[#This Row],[  90+]]</f>
        <v>0</v>
      </c>
    </row>
    <row r="48" spans="1:20" x14ac:dyDescent="0.2">
      <c r="A48" s="9" t="s">
        <v>16</v>
      </c>
      <c r="B48" s="6" t="s">
        <v>0</v>
      </c>
      <c r="C48" s="5">
        <f>Table341011121318141516[[#This Row],[Total]]-Table341011[[#This Row],[Total]]</f>
        <v>10735</v>
      </c>
      <c r="D48" s="38">
        <f>Table341011121318141516[[#This Row],[  5-11]]-Table341011[[#This Row],[  5-11]]</f>
        <v>6202.9204504612435</v>
      </c>
      <c r="E48" s="38">
        <f>Table341011121318141516[[#This Row],[  12-17]]-Table341011[[#This Row],[  12-17]]</f>
        <v>345.35258176590378</v>
      </c>
      <c r="F48" s="38">
        <f>Table341011121318141516[[#This Row],[  18-24]]-Table341011[[#This Row],[  18-24]]</f>
        <v>-47.273032227147269</v>
      </c>
      <c r="G48" s="5">
        <f>Table341011121318141516[[#This Row],[  25-29 ]]-Table341011[[#This Row],[  25-29 ]]</f>
        <v>656</v>
      </c>
      <c r="H48" s="5">
        <f>Table341011121318141516[[#This Row],[  30-34]]-Table341011[[#This Row],[  30-34]]</f>
        <v>606</v>
      </c>
      <c r="I48" s="5">
        <f>Table341011121318141516[[#This Row],[  35-39]]-Table341011[[#This Row],[  35-39]]</f>
        <v>548</v>
      </c>
      <c r="J48" s="5">
        <f>Table341011121318141516[[#This Row],[  40-44]]-Table341011[[#This Row],[  40-44]]</f>
        <v>449</v>
      </c>
      <c r="K48" s="5">
        <f>Table341011121318141516[[#This Row],[  45-49 ]]-Table341011[[#This Row],[  45-49 ]]</f>
        <v>606</v>
      </c>
      <c r="L48" s="5">
        <f>Table341011121318141516[[#This Row],[  50-54]]-Table341011[[#This Row],[  50-54]]</f>
        <v>492</v>
      </c>
      <c r="M48" s="5">
        <f>Table341011121318141516[[#This Row],[  55-59]]-Table341011[[#This Row],[  55-59]]</f>
        <v>564</v>
      </c>
      <c r="N48" s="5">
        <f>Table341011121318141516[[#This Row],[  60-64]]-Table341011[[#This Row],[  60-64]]</f>
        <v>185</v>
      </c>
      <c r="O48" s="5">
        <f>Table341011121318141516[[#This Row],[  65-69]]-Table341011[[#This Row],[  65-69]]</f>
        <v>128</v>
      </c>
      <c r="P48" s="5">
        <f>Table341011121318141516[[#This Row],[  70-74]]-Table341011[[#This Row],[  70-74]]</f>
        <v>115</v>
      </c>
      <c r="Q48" s="5">
        <f>Table341011121318141516[[#This Row],[  75-79]]-Table341011[[#This Row],[  75-79]]</f>
        <v>-59</v>
      </c>
      <c r="R48" s="5">
        <f>Table341011121318141516[[#This Row],[  80-84]]-Table341011[[#This Row],[  80-84]]</f>
        <v>-19</v>
      </c>
      <c r="S48" s="5">
        <f>Table341011121318141516[[#This Row],[  85-89]]-Table341011[[#This Row],[  85-89]]</f>
        <v>-8</v>
      </c>
      <c r="T48" s="5">
        <f>Table341011121318141516[[#This Row],[  90+]]-Table341011[[#This Row],[  90+]]</f>
        <v>-29</v>
      </c>
    </row>
    <row r="49" spans="1:20" x14ac:dyDescent="0.2">
      <c r="A49" s="9" t="s">
        <v>16</v>
      </c>
      <c r="B49" s="6" t="s">
        <v>23</v>
      </c>
      <c r="C49" s="5">
        <f>Table341011121318141516[[#This Row],[Total]]-Table341011[[#This Row],[Total]]</f>
        <v>9556</v>
      </c>
      <c r="D49" s="38">
        <f>Table341011121318141516[[#This Row],[  5-11]]-Table341011[[#This Row],[  5-11]]</f>
        <v>5587.3053476950317</v>
      </c>
      <c r="E49" s="38">
        <f>Table341011121318141516[[#This Row],[  12-17]]-Table341011[[#This Row],[  12-17]]</f>
        <v>52.267005332939334</v>
      </c>
      <c r="F49" s="38">
        <f>Table341011121318141516[[#This Row],[  18-24]]-Table341011[[#This Row],[  18-24]]</f>
        <v>71.427646972028924</v>
      </c>
      <c r="G49" s="5">
        <f>Table341011121318141516[[#This Row],[  25-29 ]]-Table341011[[#This Row],[  25-29 ]]</f>
        <v>579</v>
      </c>
      <c r="H49" s="5">
        <f>Table341011121318141516[[#This Row],[  30-34]]-Table341011[[#This Row],[  30-34]]</f>
        <v>432</v>
      </c>
      <c r="I49" s="5">
        <f>Table341011121318141516[[#This Row],[  35-39]]-Table341011[[#This Row],[  35-39]]</f>
        <v>366</v>
      </c>
      <c r="J49" s="5">
        <f>Table341011121318141516[[#This Row],[  40-44]]-Table341011[[#This Row],[  40-44]]</f>
        <v>452</v>
      </c>
      <c r="K49" s="5">
        <f>Table341011121318141516[[#This Row],[  45-49 ]]-Table341011[[#This Row],[  45-49 ]]</f>
        <v>551</v>
      </c>
      <c r="L49" s="5">
        <f>Table341011121318141516[[#This Row],[  50-54]]-Table341011[[#This Row],[  50-54]]</f>
        <v>396</v>
      </c>
      <c r="M49" s="5">
        <f>Table341011121318141516[[#This Row],[  55-59]]-Table341011[[#This Row],[  55-59]]</f>
        <v>509</v>
      </c>
      <c r="N49" s="5">
        <f>Table341011121318141516[[#This Row],[  60-64]]-Table341011[[#This Row],[  60-64]]</f>
        <v>289</v>
      </c>
      <c r="O49" s="5">
        <f>Table341011121318141516[[#This Row],[  65-69]]-Table341011[[#This Row],[  65-69]]</f>
        <v>37</v>
      </c>
      <c r="P49" s="5">
        <f>Table341011121318141516[[#This Row],[  70-74]]-Table341011[[#This Row],[  70-74]]</f>
        <v>154</v>
      </c>
      <c r="Q49" s="5">
        <f>Table341011121318141516[[#This Row],[  75-79]]-Table341011[[#This Row],[  75-79]]</f>
        <v>-79</v>
      </c>
      <c r="R49" s="5">
        <f>Table341011121318141516[[#This Row],[  80-84]]-Table341011[[#This Row],[  80-84]]</f>
        <v>56</v>
      </c>
      <c r="S49" s="5">
        <f>Table341011121318141516[[#This Row],[  85-89]]-Table341011[[#This Row],[  85-89]]</f>
        <v>74</v>
      </c>
      <c r="T49" s="5">
        <f>Table341011121318141516[[#This Row],[  90+]]-Table341011[[#This Row],[  90+]]</f>
        <v>29</v>
      </c>
    </row>
    <row r="50" spans="1:20" x14ac:dyDescent="0.2">
      <c r="A50" s="11" t="s">
        <v>17</v>
      </c>
      <c r="B50" s="6" t="s">
        <v>22</v>
      </c>
      <c r="C50" s="5">
        <f>Table341011121318141516[[#This Row],[Total]]-Table341011[[#This Row],[Total]]</f>
        <v>72055</v>
      </c>
      <c r="D50" s="38">
        <f>Table341011121318141516[[#This Row],[  5-11]]-Table341011[[#This Row],[  5-11]]</f>
        <v>45739.197383261904</v>
      </c>
      <c r="E50" s="38">
        <f>Table341011121318141516[[#This Row],[  12-17]]-Table341011[[#This Row],[  12-17]]</f>
        <v>4278.5240243627341</v>
      </c>
      <c r="F50" s="38">
        <f>Table341011121318141516[[#This Row],[  18-24]]-Table341011[[#This Row],[  18-24]]</f>
        <v>-3579.721407624631</v>
      </c>
      <c r="G50" s="5">
        <f>Table341011121318141516[[#This Row],[  25-29 ]]-Table341011[[#This Row],[  25-29 ]]</f>
        <v>3592</v>
      </c>
      <c r="H50" s="5">
        <f>Table341011121318141516[[#This Row],[  30-34]]-Table341011[[#This Row],[  30-34]]</f>
        <v>1798</v>
      </c>
      <c r="I50" s="5">
        <f>Table341011121318141516[[#This Row],[  35-39]]-Table341011[[#This Row],[  35-39]]</f>
        <v>1878</v>
      </c>
      <c r="J50" s="5">
        <f>Table341011121318141516[[#This Row],[  40-44]]-Table341011[[#This Row],[  40-44]]</f>
        <v>2516</v>
      </c>
      <c r="K50" s="5">
        <f>Table341011121318141516[[#This Row],[  45-49 ]]-Table341011[[#This Row],[  45-49 ]]</f>
        <v>3862</v>
      </c>
      <c r="L50" s="5">
        <f>Table341011121318141516[[#This Row],[  50-54]]-Table341011[[#This Row],[  50-54]]</f>
        <v>3262</v>
      </c>
      <c r="M50" s="5">
        <f>Table341011121318141516[[#This Row],[  55-59]]-Table341011[[#This Row],[  55-59]]</f>
        <v>3510</v>
      </c>
      <c r="N50" s="5">
        <f>Table341011121318141516[[#This Row],[  60-64]]-Table341011[[#This Row],[  60-64]]</f>
        <v>1896</v>
      </c>
      <c r="O50" s="5">
        <f>Table341011121318141516[[#This Row],[  65-69]]-Table341011[[#This Row],[  65-69]]</f>
        <v>1524</v>
      </c>
      <c r="P50" s="5">
        <f>Table341011121318141516[[#This Row],[  70-74]]-Table341011[[#This Row],[  70-74]]</f>
        <v>1540</v>
      </c>
      <c r="Q50" s="5">
        <f>Table341011121318141516[[#This Row],[  75-79]]-Table341011[[#This Row],[  75-79]]</f>
        <v>-154</v>
      </c>
      <c r="R50" s="5">
        <f>Table341011121318141516[[#This Row],[  80-84]]-Table341011[[#This Row],[  80-84]]</f>
        <v>60</v>
      </c>
      <c r="S50" s="5">
        <f>Table341011121318141516[[#This Row],[  85-89]]-Table341011[[#This Row],[  85-89]]</f>
        <v>202</v>
      </c>
      <c r="T50" s="5">
        <f>Table341011121318141516[[#This Row],[  90+]]-Table341011[[#This Row],[  90+]]</f>
        <v>131</v>
      </c>
    </row>
    <row r="51" spans="1:20" x14ac:dyDescent="0.2">
      <c r="A51" s="11" t="s">
        <v>17</v>
      </c>
      <c r="B51" s="6" t="s">
        <v>0</v>
      </c>
      <c r="C51" s="5">
        <f>Table341011121318141516[[#This Row],[Total]]-Table341011[[#This Row],[Total]]</f>
        <v>36384</v>
      </c>
      <c r="D51" s="38">
        <f>Table341011121318141516[[#This Row],[  5-11]]-Table341011[[#This Row],[  5-11]]</f>
        <v>23551.703007068409</v>
      </c>
      <c r="E51" s="38">
        <f>Table341011121318141516[[#This Row],[  12-17]]-Table341011[[#This Row],[  12-17]]</f>
        <v>2444.1391318238093</v>
      </c>
      <c r="F51" s="38">
        <f>Table341011121318141516[[#This Row],[  18-24]]-Table341011[[#This Row],[  18-24]]</f>
        <v>-1749.8421388922179</v>
      </c>
      <c r="G51" s="5">
        <f>Table341011121318141516[[#This Row],[  25-29 ]]-Table341011[[#This Row],[  25-29 ]]</f>
        <v>1825</v>
      </c>
      <c r="H51" s="5">
        <f>Table341011121318141516[[#This Row],[  30-34]]-Table341011[[#This Row],[  30-34]]</f>
        <v>753</v>
      </c>
      <c r="I51" s="5">
        <f>Table341011121318141516[[#This Row],[  35-39]]-Table341011[[#This Row],[  35-39]]</f>
        <v>985</v>
      </c>
      <c r="J51" s="5">
        <f>Table341011121318141516[[#This Row],[  40-44]]-Table341011[[#This Row],[  40-44]]</f>
        <v>1224</v>
      </c>
      <c r="K51" s="5">
        <f>Table341011121318141516[[#This Row],[  45-49 ]]-Table341011[[#This Row],[  45-49 ]]</f>
        <v>1817</v>
      </c>
      <c r="L51" s="5">
        <f>Table341011121318141516[[#This Row],[  50-54]]-Table341011[[#This Row],[  50-54]]</f>
        <v>1652</v>
      </c>
      <c r="M51" s="5">
        <f>Table341011121318141516[[#This Row],[  55-59]]-Table341011[[#This Row],[  55-59]]</f>
        <v>1727</v>
      </c>
      <c r="N51" s="5">
        <f>Table341011121318141516[[#This Row],[  60-64]]-Table341011[[#This Row],[  60-64]]</f>
        <v>777</v>
      </c>
      <c r="O51" s="5">
        <f>Table341011121318141516[[#This Row],[  65-69]]-Table341011[[#This Row],[  65-69]]</f>
        <v>785</v>
      </c>
      <c r="P51" s="5">
        <f>Table341011121318141516[[#This Row],[  70-74]]-Table341011[[#This Row],[  70-74]]</f>
        <v>738</v>
      </c>
      <c r="Q51" s="5">
        <f>Table341011121318141516[[#This Row],[  75-79]]-Table341011[[#This Row],[  75-79]]</f>
        <v>-227</v>
      </c>
      <c r="R51" s="5">
        <f>Table341011121318141516[[#This Row],[  80-84]]-Table341011[[#This Row],[  80-84]]</f>
        <v>-10</v>
      </c>
      <c r="S51" s="5">
        <f>Table341011121318141516[[#This Row],[  85-89]]-Table341011[[#This Row],[  85-89]]</f>
        <v>84</v>
      </c>
      <c r="T51" s="5">
        <f>Table341011121318141516[[#This Row],[  90+]]-Table341011[[#This Row],[  90+]]</f>
        <v>8</v>
      </c>
    </row>
    <row r="52" spans="1:20" x14ac:dyDescent="0.2">
      <c r="A52" s="11" t="s">
        <v>17</v>
      </c>
      <c r="B52" s="6" t="s">
        <v>23</v>
      </c>
      <c r="C52" s="5">
        <f>Table341011121318141516[[#This Row],[Total]]-Table341011[[#This Row],[Total]]</f>
        <v>35671</v>
      </c>
      <c r="D52" s="38">
        <f>Table341011121318141516[[#This Row],[  5-11]]-Table341011[[#This Row],[  5-11]]</f>
        <v>22186.765751143525</v>
      </c>
      <c r="E52" s="38">
        <f>Table341011121318141516[[#This Row],[  12-17]]-Table341011[[#This Row],[  12-17]]</f>
        <v>1835.3782803903778</v>
      </c>
      <c r="F52" s="38">
        <f>Table341011121318141516[[#This Row],[  18-24]]-Table341011[[#This Row],[  18-24]]</f>
        <v>-1830.1440315339041</v>
      </c>
      <c r="G52" s="5">
        <f>Table341011121318141516[[#This Row],[  25-29 ]]-Table341011[[#This Row],[  25-29 ]]</f>
        <v>1767</v>
      </c>
      <c r="H52" s="5">
        <f>Table341011121318141516[[#This Row],[  30-34]]-Table341011[[#This Row],[  30-34]]</f>
        <v>1045</v>
      </c>
      <c r="I52" s="5">
        <f>Table341011121318141516[[#This Row],[  35-39]]-Table341011[[#This Row],[  35-39]]</f>
        <v>893</v>
      </c>
      <c r="J52" s="5">
        <f>Table341011121318141516[[#This Row],[  40-44]]-Table341011[[#This Row],[  40-44]]</f>
        <v>1292</v>
      </c>
      <c r="K52" s="5">
        <f>Table341011121318141516[[#This Row],[  45-49 ]]-Table341011[[#This Row],[  45-49 ]]</f>
        <v>2045</v>
      </c>
      <c r="L52" s="5">
        <f>Table341011121318141516[[#This Row],[  50-54]]-Table341011[[#This Row],[  50-54]]</f>
        <v>1610</v>
      </c>
      <c r="M52" s="5">
        <f>Table341011121318141516[[#This Row],[  55-59]]-Table341011[[#This Row],[  55-59]]</f>
        <v>1783</v>
      </c>
      <c r="N52" s="5">
        <f>Table341011121318141516[[#This Row],[  60-64]]-Table341011[[#This Row],[  60-64]]</f>
        <v>1119</v>
      </c>
      <c r="O52" s="5">
        <f>Table341011121318141516[[#This Row],[  65-69]]-Table341011[[#This Row],[  65-69]]</f>
        <v>739</v>
      </c>
      <c r="P52" s="5">
        <f>Table341011121318141516[[#This Row],[  70-74]]-Table341011[[#This Row],[  70-74]]</f>
        <v>802</v>
      </c>
      <c r="Q52" s="5">
        <f>Table341011121318141516[[#This Row],[  75-79]]-Table341011[[#This Row],[  75-79]]</f>
        <v>73</v>
      </c>
      <c r="R52" s="5">
        <f>Table341011121318141516[[#This Row],[  80-84]]-Table341011[[#This Row],[  80-84]]</f>
        <v>70</v>
      </c>
      <c r="S52" s="5">
        <f>Table341011121318141516[[#This Row],[  85-89]]-Table341011[[#This Row],[  85-89]]</f>
        <v>118</v>
      </c>
      <c r="T52" s="5">
        <f>Table341011121318141516[[#This Row],[  90+]]-Table341011[[#This Row],[  90+]]</f>
        <v>123</v>
      </c>
    </row>
    <row r="53" spans="1:20" x14ac:dyDescent="0.2">
      <c r="A53" s="9" t="s">
        <v>18</v>
      </c>
      <c r="B53" s="6" t="s">
        <v>22</v>
      </c>
      <c r="C53" s="5">
        <f>Table341011121318141516[[#This Row],[Total]]-Table341011[[#This Row],[Total]]</f>
        <v>6764</v>
      </c>
      <c r="D53" s="38">
        <f>Table341011121318141516[[#This Row],[  5-11]]-Table341011[[#This Row],[  5-11]]</f>
        <v>4263.4483727416282</v>
      </c>
      <c r="E53" s="38">
        <f>Table341011121318141516[[#This Row],[  12-17]]-Table341011[[#This Row],[  12-17]]</f>
        <v>21.334885056292478</v>
      </c>
      <c r="F53" s="38">
        <f>Table341011121318141516[[#This Row],[  18-24]]-Table341011[[#This Row],[  18-24]]</f>
        <v>-123.78325779792067</v>
      </c>
      <c r="G53" s="5">
        <f>Table341011121318141516[[#This Row],[  25-29 ]]-Table341011[[#This Row],[  25-29 ]]</f>
        <v>294</v>
      </c>
      <c r="H53" s="5">
        <f>Table341011121318141516[[#This Row],[  30-34]]-Table341011[[#This Row],[  30-34]]</f>
        <v>37</v>
      </c>
      <c r="I53" s="5">
        <f>Table341011121318141516[[#This Row],[  35-39]]-Table341011[[#This Row],[  35-39]]</f>
        <v>211</v>
      </c>
      <c r="J53" s="5">
        <f>Table341011121318141516[[#This Row],[  40-44]]-Table341011[[#This Row],[  40-44]]</f>
        <v>353</v>
      </c>
      <c r="K53" s="5">
        <f>Table341011121318141516[[#This Row],[  45-49 ]]-Table341011[[#This Row],[  45-49 ]]</f>
        <v>480</v>
      </c>
      <c r="L53" s="5">
        <f>Table341011121318141516[[#This Row],[  50-54]]-Table341011[[#This Row],[  50-54]]</f>
        <v>229</v>
      </c>
      <c r="M53" s="5">
        <f>Table341011121318141516[[#This Row],[  55-59]]-Table341011[[#This Row],[  55-59]]</f>
        <v>330</v>
      </c>
      <c r="N53" s="5">
        <f>Table341011121318141516[[#This Row],[  60-64]]-Table341011[[#This Row],[  60-64]]</f>
        <v>87</v>
      </c>
      <c r="O53" s="5">
        <f>Table341011121318141516[[#This Row],[  65-69]]-Table341011[[#This Row],[  65-69]]</f>
        <v>224</v>
      </c>
      <c r="P53" s="5">
        <f>Table341011121318141516[[#This Row],[  70-74]]-Table341011[[#This Row],[  70-74]]</f>
        <v>250</v>
      </c>
      <c r="Q53" s="5">
        <f>Table341011121318141516[[#This Row],[  75-79]]-Table341011[[#This Row],[  75-79]]</f>
        <v>13</v>
      </c>
      <c r="R53" s="5">
        <f>Table341011121318141516[[#This Row],[  80-84]]-Table341011[[#This Row],[  80-84]]</f>
        <v>6</v>
      </c>
      <c r="S53" s="5">
        <f>Table341011121318141516[[#This Row],[  85-89]]-Table341011[[#This Row],[  85-89]]</f>
        <v>59</v>
      </c>
      <c r="T53" s="5">
        <f>Table341011121318141516[[#This Row],[  90+]]-Table341011[[#This Row],[  90+]]</f>
        <v>30</v>
      </c>
    </row>
    <row r="54" spans="1:20" x14ac:dyDescent="0.2">
      <c r="A54" s="9" t="s">
        <v>18</v>
      </c>
      <c r="B54" s="6" t="s">
        <v>0</v>
      </c>
      <c r="C54" s="5">
        <f>Table341011121318141516[[#This Row],[Total]]-Table341011[[#This Row],[Total]]</f>
        <v>3472</v>
      </c>
      <c r="D54" s="38">
        <f>Table341011121318141516[[#This Row],[  5-11]]-Table341011[[#This Row],[  5-11]]</f>
        <v>2216.3924763388045</v>
      </c>
      <c r="E54" s="38">
        <f>Table341011121318141516[[#This Row],[  12-17]]-Table341011[[#This Row],[  12-17]]</f>
        <v>31.302623697136823</v>
      </c>
      <c r="F54" s="38">
        <f>Table341011121318141516[[#This Row],[  18-24]]-Table341011[[#This Row],[  18-24]]</f>
        <v>-100.6951000359411</v>
      </c>
      <c r="G54" s="5">
        <f>Table341011121318141516[[#This Row],[  25-29 ]]-Table341011[[#This Row],[  25-29 ]]</f>
        <v>149</v>
      </c>
      <c r="H54" s="5">
        <f>Table341011121318141516[[#This Row],[  30-34]]-Table341011[[#This Row],[  30-34]]</f>
        <v>82</v>
      </c>
      <c r="I54" s="5">
        <f>Table341011121318141516[[#This Row],[  35-39]]-Table341011[[#This Row],[  35-39]]</f>
        <v>95</v>
      </c>
      <c r="J54" s="5">
        <f>Table341011121318141516[[#This Row],[  40-44]]-Table341011[[#This Row],[  40-44]]</f>
        <v>200</v>
      </c>
      <c r="K54" s="5">
        <f>Table341011121318141516[[#This Row],[  45-49 ]]-Table341011[[#This Row],[  45-49 ]]</f>
        <v>224</v>
      </c>
      <c r="L54" s="5">
        <f>Table341011121318141516[[#This Row],[  50-54]]-Table341011[[#This Row],[  50-54]]</f>
        <v>128</v>
      </c>
      <c r="M54" s="5">
        <f>Table341011121318141516[[#This Row],[  55-59]]-Table341011[[#This Row],[  55-59]]</f>
        <v>180</v>
      </c>
      <c r="N54" s="5">
        <f>Table341011121318141516[[#This Row],[  60-64]]-Table341011[[#This Row],[  60-64]]</f>
        <v>32</v>
      </c>
      <c r="O54" s="5">
        <f>Table341011121318141516[[#This Row],[  65-69]]-Table341011[[#This Row],[  65-69]]</f>
        <v>113</v>
      </c>
      <c r="P54" s="5">
        <f>Table341011121318141516[[#This Row],[  70-74]]-Table341011[[#This Row],[  70-74]]</f>
        <v>72</v>
      </c>
      <c r="Q54" s="5">
        <f>Table341011121318141516[[#This Row],[  75-79]]-Table341011[[#This Row],[  75-79]]</f>
        <v>37</v>
      </c>
      <c r="R54" s="5">
        <f>Table341011121318141516[[#This Row],[  80-84]]-Table341011[[#This Row],[  80-84]]</f>
        <v>-21</v>
      </c>
      <c r="S54" s="5">
        <f>Table341011121318141516[[#This Row],[  85-89]]-Table341011[[#This Row],[  85-89]]</f>
        <v>45</v>
      </c>
      <c r="T54" s="5">
        <f>Table341011121318141516[[#This Row],[  90+]]-Table341011[[#This Row],[  90+]]</f>
        <v>-11</v>
      </c>
    </row>
    <row r="55" spans="1:20" x14ac:dyDescent="0.2">
      <c r="A55" s="9" t="s">
        <v>18</v>
      </c>
      <c r="B55" s="6" t="s">
        <v>23</v>
      </c>
      <c r="C55" s="5">
        <f>Table341011121318141516[[#This Row],[Total]]-Table341011[[#This Row],[Total]]</f>
        <v>3292</v>
      </c>
      <c r="D55" s="38">
        <f>Table341011121318141516[[#This Row],[  5-11]]-Table341011[[#This Row],[  5-11]]</f>
        <v>2046.9598448599313</v>
      </c>
      <c r="E55" s="38">
        <f>Table341011121318141516[[#This Row],[  12-17]]-Table341011[[#This Row],[  12-17]]</f>
        <v>-9.8275331464346891</v>
      </c>
      <c r="F55" s="38">
        <f>Table341011121318141516[[#This Row],[  18-24]]-Table341011[[#This Row],[  18-24]]</f>
        <v>-23.13231171349662</v>
      </c>
      <c r="G55" s="5">
        <f>Table341011121318141516[[#This Row],[  25-29 ]]-Table341011[[#This Row],[  25-29 ]]</f>
        <v>145</v>
      </c>
      <c r="H55" s="5">
        <f>Table341011121318141516[[#This Row],[  30-34]]-Table341011[[#This Row],[  30-34]]</f>
        <v>-45</v>
      </c>
      <c r="I55" s="5">
        <f>Table341011121318141516[[#This Row],[  35-39]]-Table341011[[#This Row],[  35-39]]</f>
        <v>116</v>
      </c>
      <c r="J55" s="5">
        <f>Table341011121318141516[[#This Row],[  40-44]]-Table341011[[#This Row],[  40-44]]</f>
        <v>153</v>
      </c>
      <c r="K55" s="5">
        <f>Table341011121318141516[[#This Row],[  45-49 ]]-Table341011[[#This Row],[  45-49 ]]</f>
        <v>256</v>
      </c>
      <c r="L55" s="5">
        <f>Table341011121318141516[[#This Row],[  50-54]]-Table341011[[#This Row],[  50-54]]</f>
        <v>101</v>
      </c>
      <c r="M55" s="5">
        <f>Table341011121318141516[[#This Row],[  55-59]]-Table341011[[#This Row],[  55-59]]</f>
        <v>150</v>
      </c>
      <c r="N55" s="5">
        <f>Table341011121318141516[[#This Row],[  60-64]]-Table341011[[#This Row],[  60-64]]</f>
        <v>55</v>
      </c>
      <c r="O55" s="5">
        <f>Table341011121318141516[[#This Row],[  65-69]]-Table341011[[#This Row],[  65-69]]</f>
        <v>111</v>
      </c>
      <c r="P55" s="5">
        <f>Table341011121318141516[[#This Row],[  70-74]]-Table341011[[#This Row],[  70-74]]</f>
        <v>178</v>
      </c>
      <c r="Q55" s="5">
        <f>Table341011121318141516[[#This Row],[  75-79]]-Table341011[[#This Row],[  75-79]]</f>
        <v>-24</v>
      </c>
      <c r="R55" s="5">
        <f>Table341011121318141516[[#This Row],[  80-84]]-Table341011[[#This Row],[  80-84]]</f>
        <v>27</v>
      </c>
      <c r="S55" s="5">
        <f>Table341011121318141516[[#This Row],[  85-89]]-Table341011[[#This Row],[  85-89]]</f>
        <v>14</v>
      </c>
      <c r="T55" s="5">
        <f>Table341011121318141516[[#This Row],[  90+]]-Table341011[[#This Row],[  90+]]</f>
        <v>41</v>
      </c>
    </row>
    <row r="56" spans="1:20" x14ac:dyDescent="0.2">
      <c r="A56" s="9" t="s">
        <v>19</v>
      </c>
      <c r="B56" s="6" t="s">
        <v>22</v>
      </c>
      <c r="C56" s="5">
        <f>Table341011121318141516[[#This Row],[Total]]-Table341011[[#This Row],[Total]]</f>
        <v>75274</v>
      </c>
      <c r="D56" s="38">
        <f>Table341011121318141516[[#This Row],[  5-11]]-Table341011[[#This Row],[  5-11]]</f>
        <v>54722.060353136607</v>
      </c>
      <c r="E56" s="38">
        <f>Table341011121318141516[[#This Row],[  12-17]]-Table341011[[#This Row],[  12-17]]</f>
        <v>3568.5360211635852</v>
      </c>
      <c r="F56" s="38">
        <f>Table341011121318141516[[#This Row],[  18-24]]-Table341011[[#This Row],[  18-24]]</f>
        <v>-7301.5963743001848</v>
      </c>
      <c r="G56" s="5">
        <f>Table341011121318141516[[#This Row],[  25-29 ]]-Table341011[[#This Row],[  25-29 ]]</f>
        <v>6545</v>
      </c>
      <c r="H56" s="5">
        <f>Table341011121318141516[[#This Row],[  30-34]]-Table341011[[#This Row],[  30-34]]</f>
        <v>3764</v>
      </c>
      <c r="I56" s="5">
        <f>Table341011121318141516[[#This Row],[  35-39]]-Table341011[[#This Row],[  35-39]]</f>
        <v>3044</v>
      </c>
      <c r="J56" s="5">
        <f>Table341011121318141516[[#This Row],[  40-44]]-Table341011[[#This Row],[  40-44]]</f>
        <v>-247</v>
      </c>
      <c r="K56" s="5">
        <f>Table341011121318141516[[#This Row],[  45-49 ]]-Table341011[[#This Row],[  45-49 ]]</f>
        <v>3182</v>
      </c>
      <c r="L56" s="5">
        <f>Table341011121318141516[[#This Row],[  50-54]]-Table341011[[#This Row],[  50-54]]</f>
        <v>2065</v>
      </c>
      <c r="M56" s="5">
        <f>Table341011121318141516[[#This Row],[  55-59]]-Table341011[[#This Row],[  55-59]]</f>
        <v>3303</v>
      </c>
      <c r="N56" s="5">
        <f>Table341011121318141516[[#This Row],[  60-64]]-Table341011[[#This Row],[  60-64]]</f>
        <v>1380</v>
      </c>
      <c r="O56" s="5">
        <f>Table341011121318141516[[#This Row],[  65-69]]-Table341011[[#This Row],[  65-69]]</f>
        <v>481</v>
      </c>
      <c r="P56" s="5">
        <f>Table341011121318141516[[#This Row],[  70-74]]-Table341011[[#This Row],[  70-74]]</f>
        <v>1026</v>
      </c>
      <c r="Q56" s="5">
        <f>Table341011121318141516[[#This Row],[  75-79]]-Table341011[[#This Row],[  75-79]]</f>
        <v>-435</v>
      </c>
      <c r="R56" s="5">
        <f>Table341011121318141516[[#This Row],[  80-84]]-Table341011[[#This Row],[  80-84]]</f>
        <v>-346</v>
      </c>
      <c r="S56" s="5">
        <f>Table341011121318141516[[#This Row],[  85-89]]-Table341011[[#This Row],[  85-89]]</f>
        <v>-8</v>
      </c>
      <c r="T56" s="5">
        <f>Table341011121318141516[[#This Row],[  90+]]-Table341011[[#This Row],[  90+]]</f>
        <v>531</v>
      </c>
    </row>
    <row r="57" spans="1:20" x14ac:dyDescent="0.2">
      <c r="A57" s="10" t="s">
        <v>19</v>
      </c>
      <c r="B57" s="6" t="s">
        <v>0</v>
      </c>
      <c r="C57" s="5">
        <f>Table341011121318141516[[#This Row],[Total]]-Table341011[[#This Row],[Total]]</f>
        <v>38067</v>
      </c>
      <c r="D57" s="38">
        <f>Table341011121318141516[[#This Row],[  5-11]]-Table341011[[#This Row],[  5-11]]</f>
        <v>28495.046483766622</v>
      </c>
      <c r="E57" s="38">
        <f>Table341011121318141516[[#This Row],[  12-17]]-Table341011[[#This Row],[  12-17]]</f>
        <v>2123.1493949922151</v>
      </c>
      <c r="F57" s="38">
        <f>Table341011121318141516[[#This Row],[  18-24]]-Table341011[[#This Row],[  18-24]]</f>
        <v>-3713.1958787588374</v>
      </c>
      <c r="G57" s="5">
        <f>Table341011121318141516[[#This Row],[  25-29 ]]-Table341011[[#This Row],[  25-29 ]]</f>
        <v>3737</v>
      </c>
      <c r="H57" s="5">
        <f>Table341011121318141516[[#This Row],[  30-34]]-Table341011[[#This Row],[  30-34]]</f>
        <v>1684</v>
      </c>
      <c r="I57" s="5">
        <f>Table341011121318141516[[#This Row],[  35-39]]-Table341011[[#This Row],[  35-39]]</f>
        <v>1466</v>
      </c>
      <c r="J57" s="5">
        <f>Table341011121318141516[[#This Row],[  40-44]]-Table341011[[#This Row],[  40-44]]</f>
        <v>-257</v>
      </c>
      <c r="K57" s="5">
        <f>Table341011121318141516[[#This Row],[  45-49 ]]-Table341011[[#This Row],[  45-49 ]]</f>
        <v>1543</v>
      </c>
      <c r="L57" s="5">
        <f>Table341011121318141516[[#This Row],[  50-54]]-Table341011[[#This Row],[  50-54]]</f>
        <v>902</v>
      </c>
      <c r="M57" s="5">
        <f>Table341011121318141516[[#This Row],[  55-59]]-Table341011[[#This Row],[  55-59]]</f>
        <v>1234</v>
      </c>
      <c r="N57" s="5">
        <f>Table341011121318141516[[#This Row],[  60-64]]-Table341011[[#This Row],[  60-64]]</f>
        <v>290</v>
      </c>
      <c r="O57" s="5">
        <f>Table341011121318141516[[#This Row],[  65-69]]-Table341011[[#This Row],[  65-69]]</f>
        <v>428</v>
      </c>
      <c r="P57" s="5">
        <f>Table341011121318141516[[#This Row],[  70-74]]-Table341011[[#This Row],[  70-74]]</f>
        <v>426</v>
      </c>
      <c r="Q57" s="5">
        <f>Table341011121318141516[[#This Row],[  75-79]]-Table341011[[#This Row],[  75-79]]</f>
        <v>-233</v>
      </c>
      <c r="R57" s="5">
        <f>Table341011121318141516[[#This Row],[  80-84]]-Table341011[[#This Row],[  80-84]]</f>
        <v>-193</v>
      </c>
      <c r="S57" s="5">
        <f>Table341011121318141516[[#This Row],[  85-89]]-Table341011[[#This Row],[  85-89]]</f>
        <v>47</v>
      </c>
      <c r="T57" s="5">
        <f>Table341011121318141516[[#This Row],[  90+]]-Table341011[[#This Row],[  90+]]</f>
        <v>88</v>
      </c>
    </row>
    <row r="58" spans="1:20" x14ac:dyDescent="0.2">
      <c r="A58" s="10" t="s">
        <v>19</v>
      </c>
      <c r="B58" s="6" t="s">
        <v>23</v>
      </c>
      <c r="C58" s="5">
        <f>Table341011121318141516[[#This Row],[Total]]-Table341011[[#This Row],[Total]]</f>
        <v>37207</v>
      </c>
      <c r="D58" s="38">
        <f>Table341011121318141516[[#This Row],[  5-11]]-Table341011[[#This Row],[  5-11]]</f>
        <v>26225.613161611262</v>
      </c>
      <c r="E58" s="38">
        <f>Table341011121318141516[[#This Row],[  12-17]]-Table341011[[#This Row],[  12-17]]</f>
        <v>1447.4336544339276</v>
      </c>
      <c r="F58" s="38">
        <f>Table341011121318141516[[#This Row],[  18-24]]-Table341011[[#This Row],[  18-24]]</f>
        <v>-3589.0468160451892</v>
      </c>
      <c r="G58" s="5">
        <f>Table341011121318141516[[#This Row],[  25-29 ]]-Table341011[[#This Row],[  25-29 ]]</f>
        <v>2808</v>
      </c>
      <c r="H58" s="5">
        <f>Table341011121318141516[[#This Row],[  30-34]]-Table341011[[#This Row],[  30-34]]</f>
        <v>2080</v>
      </c>
      <c r="I58" s="5">
        <f>Table341011121318141516[[#This Row],[  35-39]]-Table341011[[#This Row],[  35-39]]</f>
        <v>1578</v>
      </c>
      <c r="J58" s="5">
        <f>Table341011121318141516[[#This Row],[  40-44]]-Table341011[[#This Row],[  40-44]]</f>
        <v>10</v>
      </c>
      <c r="K58" s="5">
        <f>Table341011121318141516[[#This Row],[  45-49 ]]-Table341011[[#This Row],[  45-49 ]]</f>
        <v>1639</v>
      </c>
      <c r="L58" s="5">
        <f>Table341011121318141516[[#This Row],[  50-54]]-Table341011[[#This Row],[  50-54]]</f>
        <v>1163</v>
      </c>
      <c r="M58" s="5">
        <f>Table341011121318141516[[#This Row],[  55-59]]-Table341011[[#This Row],[  55-59]]</f>
        <v>2069</v>
      </c>
      <c r="N58" s="5">
        <f>Table341011121318141516[[#This Row],[  60-64]]-Table341011[[#This Row],[  60-64]]</f>
        <v>1090</v>
      </c>
      <c r="O58" s="5">
        <f>Table341011121318141516[[#This Row],[  65-69]]-Table341011[[#This Row],[  65-69]]</f>
        <v>53</v>
      </c>
      <c r="P58" s="5">
        <f>Table341011121318141516[[#This Row],[  70-74]]-Table341011[[#This Row],[  70-74]]</f>
        <v>600</v>
      </c>
      <c r="Q58" s="5">
        <f>Table341011121318141516[[#This Row],[  75-79]]-Table341011[[#This Row],[  75-79]]</f>
        <v>-202</v>
      </c>
      <c r="R58" s="5">
        <f>Table341011121318141516[[#This Row],[  80-84]]-Table341011[[#This Row],[  80-84]]</f>
        <v>-153</v>
      </c>
      <c r="S58" s="5">
        <f>Table341011121318141516[[#This Row],[  85-89]]-Table341011[[#This Row],[  85-89]]</f>
        <v>-55</v>
      </c>
      <c r="T58" s="5">
        <f>Table341011121318141516[[#This Row],[  90+]]-Table341011[[#This Row],[  90+]]</f>
        <v>443</v>
      </c>
    </row>
    <row r="59" spans="1:20" x14ac:dyDescent="0.2">
      <c r="A59" s="9" t="s">
        <v>20</v>
      </c>
      <c r="B59" s="6" t="s">
        <v>22</v>
      </c>
      <c r="C59" s="5">
        <f>Table341011121318141516[[#This Row],[Total]]-Table341011[[#This Row],[Total]]</f>
        <v>4949</v>
      </c>
      <c r="D59" s="38">
        <f>Table341011121318141516[[#This Row],[  5-11]]-Table341011[[#This Row],[  5-11]]</f>
        <v>2608.4231281914567</v>
      </c>
      <c r="E59" s="38">
        <f>Table341011121318141516[[#This Row],[  12-17]]-Table341011[[#This Row],[  12-17]]</f>
        <v>65.341734511822324</v>
      </c>
      <c r="F59" s="38">
        <f>Table341011121318141516[[#This Row],[  18-24]]-Table341011[[#This Row],[  18-24]]</f>
        <v>26.23513729672095</v>
      </c>
      <c r="G59" s="5">
        <f>Table341011121318141516[[#This Row],[  25-29 ]]-Table341011[[#This Row],[  25-29 ]]</f>
        <v>436</v>
      </c>
      <c r="H59" s="5">
        <f>Table341011121318141516[[#This Row],[  30-34]]-Table341011[[#This Row],[  30-34]]</f>
        <v>383</v>
      </c>
      <c r="I59" s="5">
        <f>Table341011121318141516[[#This Row],[  35-39]]-Table341011[[#This Row],[  35-39]]</f>
        <v>228</v>
      </c>
      <c r="J59" s="5">
        <f>Table341011121318141516[[#This Row],[  40-44]]-Table341011[[#This Row],[  40-44]]</f>
        <v>181</v>
      </c>
      <c r="K59" s="5">
        <f>Table341011121318141516[[#This Row],[  45-49 ]]-Table341011[[#This Row],[  45-49 ]]</f>
        <v>282</v>
      </c>
      <c r="L59" s="5">
        <f>Table341011121318141516[[#This Row],[  50-54]]-Table341011[[#This Row],[  50-54]]</f>
        <v>177</v>
      </c>
      <c r="M59" s="5">
        <f>Table341011121318141516[[#This Row],[  55-59]]-Table341011[[#This Row],[  55-59]]</f>
        <v>258</v>
      </c>
      <c r="N59" s="5">
        <f>Table341011121318141516[[#This Row],[  60-64]]-Table341011[[#This Row],[  60-64]]</f>
        <v>56</v>
      </c>
      <c r="O59" s="5">
        <f>Table341011121318141516[[#This Row],[  65-69]]-Table341011[[#This Row],[  65-69]]</f>
        <v>83</v>
      </c>
      <c r="P59" s="5">
        <f>Table341011121318141516[[#This Row],[  70-74]]-Table341011[[#This Row],[  70-74]]</f>
        <v>56</v>
      </c>
      <c r="Q59" s="5">
        <f>Table341011121318141516[[#This Row],[  75-79]]-Table341011[[#This Row],[  75-79]]</f>
        <v>14</v>
      </c>
      <c r="R59" s="5">
        <f>Table341011121318141516[[#This Row],[  80-84]]-Table341011[[#This Row],[  80-84]]</f>
        <v>69</v>
      </c>
      <c r="S59" s="5">
        <f>Table341011121318141516[[#This Row],[  85-89]]-Table341011[[#This Row],[  85-89]]</f>
        <v>13</v>
      </c>
      <c r="T59" s="5">
        <f>Table341011121318141516[[#This Row],[  90+]]-Table341011[[#This Row],[  90+]]</f>
        <v>13</v>
      </c>
    </row>
    <row r="60" spans="1:20" x14ac:dyDescent="0.2">
      <c r="A60" s="9" t="s">
        <v>20</v>
      </c>
      <c r="B60" s="6" t="s">
        <v>0</v>
      </c>
      <c r="C60" s="5">
        <f>Table341011121318141516[[#This Row],[Total]]-Table341011[[#This Row],[Total]]</f>
        <v>2573</v>
      </c>
      <c r="D60" s="38">
        <f>Table341011121318141516[[#This Row],[  5-11]]-Table341011[[#This Row],[  5-11]]</f>
        <v>1397.9728046004552</v>
      </c>
      <c r="E60" s="38">
        <f>Table341011121318141516[[#This Row],[  12-17]]-Table341011[[#This Row],[  12-17]]</f>
        <v>55.391118565552574</v>
      </c>
      <c r="F60" s="38">
        <f>Table341011121318141516[[#This Row],[  18-24]]-Table341011[[#This Row],[  18-24]]</f>
        <v>-27.363923166007794</v>
      </c>
      <c r="G60" s="5">
        <f>Table341011121318141516[[#This Row],[  25-29 ]]-Table341011[[#This Row],[  25-29 ]]</f>
        <v>160</v>
      </c>
      <c r="H60" s="5">
        <f>Table341011121318141516[[#This Row],[  30-34]]-Table341011[[#This Row],[  30-34]]</f>
        <v>182</v>
      </c>
      <c r="I60" s="5">
        <f>Table341011121318141516[[#This Row],[  35-39]]-Table341011[[#This Row],[  35-39]]</f>
        <v>119</v>
      </c>
      <c r="J60" s="5">
        <f>Table341011121318141516[[#This Row],[  40-44]]-Table341011[[#This Row],[  40-44]]</f>
        <v>105</v>
      </c>
      <c r="K60" s="5">
        <f>Table341011121318141516[[#This Row],[  45-49 ]]-Table341011[[#This Row],[  45-49 ]]</f>
        <v>170</v>
      </c>
      <c r="L60" s="5">
        <f>Table341011121318141516[[#This Row],[  50-54]]-Table341011[[#This Row],[  50-54]]</f>
        <v>113</v>
      </c>
      <c r="M60" s="5">
        <f>Table341011121318141516[[#This Row],[  55-59]]-Table341011[[#This Row],[  55-59]]</f>
        <v>169</v>
      </c>
      <c r="N60" s="5">
        <f>Table341011121318141516[[#This Row],[  60-64]]-Table341011[[#This Row],[  60-64]]</f>
        <v>69</v>
      </c>
      <c r="O60" s="5">
        <f>Table341011121318141516[[#This Row],[  65-69]]-Table341011[[#This Row],[  65-69]]</f>
        <v>3</v>
      </c>
      <c r="P60" s="5">
        <f>Table341011121318141516[[#This Row],[  70-74]]-Table341011[[#This Row],[  70-74]]</f>
        <v>14</v>
      </c>
      <c r="Q60" s="5">
        <f>Table341011121318141516[[#This Row],[  75-79]]-Table341011[[#This Row],[  75-79]]</f>
        <v>12</v>
      </c>
      <c r="R60" s="5">
        <f>Table341011121318141516[[#This Row],[  80-84]]-Table341011[[#This Row],[  80-84]]</f>
        <v>29</v>
      </c>
      <c r="S60" s="5">
        <f>Table341011121318141516[[#This Row],[  85-89]]-Table341011[[#This Row],[  85-89]]</f>
        <v>9</v>
      </c>
      <c r="T60" s="5">
        <f>Table341011121318141516[[#This Row],[  90+]]-Table341011[[#This Row],[  90+]]</f>
        <v>-7</v>
      </c>
    </row>
    <row r="61" spans="1:20" x14ac:dyDescent="0.2">
      <c r="A61" s="9" t="s">
        <v>20</v>
      </c>
      <c r="B61" s="6" t="s">
        <v>23</v>
      </c>
      <c r="C61" s="5">
        <f>Table341011121318141516[[#This Row],[Total]]-Table341011[[#This Row],[Total]]</f>
        <v>2376</v>
      </c>
      <c r="D61" s="38">
        <f>Table341011121318141516[[#This Row],[  5-11]]-Table341011[[#This Row],[  5-11]]</f>
        <v>1210.3370923884404</v>
      </c>
      <c r="E61" s="38">
        <f>Table341011121318141516[[#This Row],[  12-17]]-Table341011[[#This Row],[  12-17]]</f>
        <v>10.129086655002993</v>
      </c>
      <c r="F61" s="38">
        <f>Table341011121318141516[[#This Row],[  18-24]]-Table341011[[#This Row],[  18-24]]</f>
        <v>53.53382095655661</v>
      </c>
      <c r="G61" s="5">
        <f>Table341011121318141516[[#This Row],[  25-29 ]]-Table341011[[#This Row],[  25-29 ]]</f>
        <v>276</v>
      </c>
      <c r="H61" s="5">
        <f>Table341011121318141516[[#This Row],[  30-34]]-Table341011[[#This Row],[  30-34]]</f>
        <v>201</v>
      </c>
      <c r="I61" s="5">
        <f>Table341011121318141516[[#This Row],[  35-39]]-Table341011[[#This Row],[  35-39]]</f>
        <v>109</v>
      </c>
      <c r="J61" s="5">
        <f>Table341011121318141516[[#This Row],[  40-44]]-Table341011[[#This Row],[  40-44]]</f>
        <v>76</v>
      </c>
      <c r="K61" s="5">
        <f>Table341011121318141516[[#This Row],[  45-49 ]]-Table341011[[#This Row],[  45-49 ]]</f>
        <v>112</v>
      </c>
      <c r="L61" s="5">
        <f>Table341011121318141516[[#This Row],[  50-54]]-Table341011[[#This Row],[  50-54]]</f>
        <v>64</v>
      </c>
      <c r="M61" s="5">
        <f>Table341011121318141516[[#This Row],[  55-59]]-Table341011[[#This Row],[  55-59]]</f>
        <v>89</v>
      </c>
      <c r="N61" s="5">
        <f>Table341011121318141516[[#This Row],[  60-64]]-Table341011[[#This Row],[  60-64]]</f>
        <v>-13</v>
      </c>
      <c r="O61" s="5">
        <f>Table341011121318141516[[#This Row],[  65-69]]-Table341011[[#This Row],[  65-69]]</f>
        <v>80</v>
      </c>
      <c r="P61" s="5">
        <f>Table341011121318141516[[#This Row],[  70-74]]-Table341011[[#This Row],[  70-74]]</f>
        <v>42</v>
      </c>
      <c r="Q61" s="5">
        <f>Table341011121318141516[[#This Row],[  75-79]]-Table341011[[#This Row],[  75-79]]</f>
        <v>2</v>
      </c>
      <c r="R61" s="5">
        <f>Table341011121318141516[[#This Row],[  80-84]]-Table341011[[#This Row],[  80-84]]</f>
        <v>40</v>
      </c>
      <c r="S61" s="5">
        <f>Table341011121318141516[[#This Row],[  85-89]]-Table341011[[#This Row],[  85-89]]</f>
        <v>4</v>
      </c>
      <c r="T61" s="5">
        <f>Table341011121318141516[[#This Row],[  90+]]-Table341011[[#This Row],[  90+]]</f>
        <v>20</v>
      </c>
    </row>
    <row r="62" spans="1:20" x14ac:dyDescent="0.2">
      <c r="A62" s="13" t="s">
        <v>21</v>
      </c>
      <c r="B62" s="6" t="s">
        <v>22</v>
      </c>
      <c r="C62" s="5">
        <f>Table341011121318141516[[#This Row],[Total]]-Table341011[[#This Row],[Total]]</f>
        <v>11885</v>
      </c>
      <c r="D62" s="38">
        <f>Table341011121318141516[[#This Row],[  5-11]]-Table341011[[#This Row],[  5-11]]</f>
        <v>6571.3051904107624</v>
      </c>
      <c r="E62" s="38">
        <f>Table341011121318141516[[#This Row],[  12-17]]-Table341011[[#This Row],[  12-17]]</f>
        <v>599.56950966921613</v>
      </c>
      <c r="F62" s="38">
        <f>Table341011121318141516[[#This Row],[  18-24]]-Table341011[[#This Row],[  18-24]]</f>
        <v>-201.87470007997854</v>
      </c>
      <c r="G62" s="5">
        <f>Table341011121318141516[[#This Row],[  25-29 ]]-Table341011[[#This Row],[  25-29 ]]</f>
        <v>465</v>
      </c>
      <c r="H62" s="5">
        <f>Table341011121318141516[[#This Row],[  30-34]]-Table341011[[#This Row],[  30-34]]</f>
        <v>543</v>
      </c>
      <c r="I62" s="5">
        <f>Table341011121318141516[[#This Row],[  35-39]]-Table341011[[#This Row],[  35-39]]</f>
        <v>407</v>
      </c>
      <c r="J62" s="5">
        <f>Table341011121318141516[[#This Row],[  40-44]]-Table341011[[#This Row],[  40-44]]</f>
        <v>448</v>
      </c>
      <c r="K62" s="5">
        <f>Table341011121318141516[[#This Row],[  45-49 ]]-Table341011[[#This Row],[  45-49 ]]</f>
        <v>791</v>
      </c>
      <c r="L62" s="5">
        <f>Table341011121318141516[[#This Row],[  50-54]]-Table341011[[#This Row],[  50-54]]</f>
        <v>467</v>
      </c>
      <c r="M62" s="5">
        <f>Table341011121318141516[[#This Row],[  55-59]]-Table341011[[#This Row],[  55-59]]</f>
        <v>675</v>
      </c>
      <c r="N62" s="5">
        <f>Table341011121318141516[[#This Row],[  60-64]]-Table341011[[#This Row],[  60-64]]</f>
        <v>343</v>
      </c>
      <c r="O62" s="5">
        <f>Table341011121318141516[[#This Row],[  65-69]]-Table341011[[#This Row],[  65-69]]</f>
        <v>333</v>
      </c>
      <c r="P62" s="5">
        <f>Table341011121318141516[[#This Row],[  70-74]]-Table341011[[#This Row],[  70-74]]</f>
        <v>375</v>
      </c>
      <c r="Q62" s="5">
        <f>Table341011121318141516[[#This Row],[  75-79]]-Table341011[[#This Row],[  75-79]]</f>
        <v>-35</v>
      </c>
      <c r="R62" s="5">
        <f>Table341011121318141516[[#This Row],[  80-84]]-Table341011[[#This Row],[  80-84]]</f>
        <v>55</v>
      </c>
      <c r="S62" s="5">
        <f>Table341011121318141516[[#This Row],[  85-89]]-Table341011[[#This Row],[  85-89]]</f>
        <v>-3</v>
      </c>
      <c r="T62" s="5">
        <f>Table341011121318141516[[#This Row],[  90+]]-Table341011[[#This Row],[  90+]]</f>
        <v>52</v>
      </c>
    </row>
    <row r="63" spans="1:20" x14ac:dyDescent="0.2">
      <c r="A63" s="10" t="s">
        <v>21</v>
      </c>
      <c r="B63" s="6" t="s">
        <v>0</v>
      </c>
      <c r="C63" s="5">
        <f>Table341011121318141516[[#This Row],[Total]]-Table341011[[#This Row],[Total]]</f>
        <v>6061</v>
      </c>
      <c r="D63" s="38">
        <f>Table341011121318141516[[#This Row],[  5-11]]-Table341011[[#This Row],[  5-11]]</f>
        <v>3381.7411045884746</v>
      </c>
      <c r="E63" s="38">
        <f>Table341011121318141516[[#This Row],[  12-17]]-Table341011[[#This Row],[  12-17]]</f>
        <v>296.92308613873274</v>
      </c>
      <c r="F63" s="38">
        <f>Table341011121318141516[[#This Row],[  18-24]]-Table341011[[#This Row],[  18-24]]</f>
        <v>-179.66419072720737</v>
      </c>
      <c r="G63" s="5">
        <f>Table341011121318141516[[#This Row],[  25-29 ]]-Table341011[[#This Row],[  25-29 ]]</f>
        <v>236</v>
      </c>
      <c r="H63" s="5">
        <f>Table341011121318141516[[#This Row],[  30-34]]-Table341011[[#This Row],[  30-34]]</f>
        <v>296</v>
      </c>
      <c r="I63" s="5">
        <f>Table341011121318141516[[#This Row],[  35-39]]-Table341011[[#This Row],[  35-39]]</f>
        <v>262</v>
      </c>
      <c r="J63" s="5">
        <f>Table341011121318141516[[#This Row],[  40-44]]-Table341011[[#This Row],[  40-44]]</f>
        <v>232</v>
      </c>
      <c r="K63" s="5">
        <f>Table341011121318141516[[#This Row],[  45-49 ]]-Table341011[[#This Row],[  45-49 ]]</f>
        <v>439</v>
      </c>
      <c r="L63" s="5">
        <f>Table341011121318141516[[#This Row],[  50-54]]-Table341011[[#This Row],[  50-54]]</f>
        <v>259</v>
      </c>
      <c r="M63" s="5">
        <f>Table341011121318141516[[#This Row],[  55-59]]-Table341011[[#This Row],[  55-59]]</f>
        <v>356</v>
      </c>
      <c r="N63" s="5">
        <f>Table341011121318141516[[#This Row],[  60-64]]-Table341011[[#This Row],[  60-64]]</f>
        <v>150</v>
      </c>
      <c r="O63" s="5">
        <f>Table341011121318141516[[#This Row],[  65-69]]-Table341011[[#This Row],[  65-69]]</f>
        <v>205</v>
      </c>
      <c r="P63" s="5">
        <f>Table341011121318141516[[#This Row],[  70-74]]-Table341011[[#This Row],[  70-74]]</f>
        <v>142</v>
      </c>
      <c r="Q63" s="5">
        <f>Table341011121318141516[[#This Row],[  75-79]]-Table341011[[#This Row],[  75-79]]</f>
        <v>-35</v>
      </c>
      <c r="R63" s="5">
        <f>Table341011121318141516[[#This Row],[  80-84]]-Table341011[[#This Row],[  80-84]]</f>
        <v>-3</v>
      </c>
      <c r="S63" s="5">
        <f>Table341011121318141516[[#This Row],[  85-89]]-Table341011[[#This Row],[  85-89]]</f>
        <v>-3</v>
      </c>
      <c r="T63" s="5">
        <f>Table341011121318141516[[#This Row],[  90+]]-Table341011[[#This Row],[  90+]]</f>
        <v>26</v>
      </c>
    </row>
    <row r="64" spans="1:20" x14ac:dyDescent="0.2">
      <c r="A64" s="10" t="s">
        <v>21</v>
      </c>
      <c r="B64" s="6" t="s">
        <v>23</v>
      </c>
      <c r="C64" s="5">
        <f>Table341011121318141516[[#This Row],[Total]]-Table341011[[#This Row],[Total]]</f>
        <v>5824</v>
      </c>
      <c r="D64" s="38">
        <f>Table341011121318141516[[#This Row],[  5-11]]-Table341011[[#This Row],[  5-11]]</f>
        <v>3189.4667270925993</v>
      </c>
      <c r="E64" s="38">
        <f>Table341011121318141516[[#This Row],[  12-17]]-Table341011[[#This Row],[  12-17]]</f>
        <v>302.77702830884664</v>
      </c>
      <c r="F64" s="38">
        <f>Table341011121318141516[[#This Row],[  18-24]]-Table341011[[#This Row],[  18-24]]</f>
        <v>-22.243755401445924</v>
      </c>
      <c r="G64" s="5">
        <f>Table341011121318141516[[#This Row],[  25-29 ]]-Table341011[[#This Row],[  25-29 ]]</f>
        <v>229</v>
      </c>
      <c r="H64" s="5">
        <f>Table341011121318141516[[#This Row],[  30-34]]-Table341011[[#This Row],[  30-34]]</f>
        <v>247</v>
      </c>
      <c r="I64" s="5">
        <f>Table341011121318141516[[#This Row],[  35-39]]-Table341011[[#This Row],[  35-39]]</f>
        <v>145</v>
      </c>
      <c r="J64" s="5">
        <f>Table341011121318141516[[#This Row],[  40-44]]-Table341011[[#This Row],[  40-44]]</f>
        <v>216</v>
      </c>
      <c r="K64" s="5">
        <f>Table341011121318141516[[#This Row],[  45-49 ]]-Table341011[[#This Row],[  45-49 ]]</f>
        <v>352</v>
      </c>
      <c r="L64" s="5">
        <f>Table341011121318141516[[#This Row],[  50-54]]-Table341011[[#This Row],[  50-54]]</f>
        <v>208</v>
      </c>
      <c r="M64" s="5">
        <f>Table341011121318141516[[#This Row],[  55-59]]-Table341011[[#This Row],[  55-59]]</f>
        <v>319</v>
      </c>
      <c r="N64" s="5">
        <f>Table341011121318141516[[#This Row],[  60-64]]-Table341011[[#This Row],[  60-64]]</f>
        <v>193</v>
      </c>
      <c r="O64" s="5">
        <f>Table341011121318141516[[#This Row],[  65-69]]-Table341011[[#This Row],[  65-69]]</f>
        <v>128</v>
      </c>
      <c r="P64" s="5">
        <f>Table341011121318141516[[#This Row],[  70-74]]-Table341011[[#This Row],[  70-74]]</f>
        <v>233</v>
      </c>
      <c r="Q64" s="5">
        <f>Table341011121318141516[[#This Row],[  75-79]]-Table341011[[#This Row],[  75-79]]</f>
        <v>0</v>
      </c>
      <c r="R64" s="5">
        <f>Table341011121318141516[[#This Row],[  80-84]]-Table341011[[#This Row],[  80-84]]</f>
        <v>58</v>
      </c>
      <c r="S64" s="5">
        <f>Table341011121318141516[[#This Row],[  85-89]]-Table341011[[#This Row],[  85-89]]</f>
        <v>0</v>
      </c>
      <c r="T64" s="5">
        <f>Table341011121318141516[[#This Row],[  90+]]-Table341011[[#This Row],[  90+]]</f>
        <v>26</v>
      </c>
    </row>
    <row r="65" spans="1:20" x14ac:dyDescent="0.2">
      <c r="A65" s="13" t="s">
        <v>22</v>
      </c>
      <c r="B65" s="6" t="s">
        <v>22</v>
      </c>
      <c r="C65" s="5">
        <f>Table341011121318141516[[#This Row],[Total]]-Table341011[[#This Row],[Total]]</f>
        <v>675793</v>
      </c>
      <c r="D65" s="38">
        <f>Table341011121318141516[[#This Row],[  5-11]]-Table341011[[#This Row],[  5-11]]</f>
        <v>475079.80276028963</v>
      </c>
      <c r="E65" s="38">
        <f>Table341011121318141516[[#This Row],[  12-17]]-Table341011[[#This Row],[  12-17]]</f>
        <v>39573.417447654938</v>
      </c>
      <c r="F65" s="38">
        <f>Table341011121318141516[[#This Row],[  18-24]]-Table341011[[#This Row],[  18-24]]</f>
        <v>-73849.220207944512</v>
      </c>
      <c r="G65" s="5">
        <f>Table341011121318141516[[#This Row],[  25-29 ]]-Table341011[[#This Row],[  25-29 ]]</f>
        <v>44226</v>
      </c>
      <c r="H65" s="5">
        <f>Table341011121318141516[[#This Row],[  30-34]]-Table341011[[#This Row],[  30-34]]</f>
        <v>23665</v>
      </c>
      <c r="I65" s="5">
        <f>Table341011121318141516[[#This Row],[  35-39]]-Table341011[[#This Row],[  35-39]]</f>
        <v>18718</v>
      </c>
      <c r="J65" s="5">
        <f>Table341011121318141516[[#This Row],[  40-44]]-Table341011[[#This Row],[  40-44]]</f>
        <v>17264</v>
      </c>
      <c r="K65" s="5">
        <f>Table341011121318141516[[#This Row],[  45-49 ]]-Table341011[[#This Row],[  45-49 ]]</f>
        <v>36684</v>
      </c>
      <c r="L65" s="5">
        <f>Table341011121318141516[[#This Row],[  50-54]]-Table341011[[#This Row],[  50-54]]</f>
        <v>24853</v>
      </c>
      <c r="M65" s="5">
        <f>Table341011121318141516[[#This Row],[  55-59]]-Table341011[[#This Row],[  55-59]]</f>
        <v>32344</v>
      </c>
      <c r="N65" s="5">
        <f>Table341011121318141516[[#This Row],[  60-64]]-Table341011[[#This Row],[  60-64]]</f>
        <v>14054</v>
      </c>
      <c r="O65" s="5">
        <f>Table341011121318141516[[#This Row],[  65-69]]-Table341011[[#This Row],[  65-69]]</f>
        <v>11665</v>
      </c>
      <c r="P65" s="5">
        <f>Table341011121318141516[[#This Row],[  70-74]]-Table341011[[#This Row],[  70-74]]</f>
        <v>12209</v>
      </c>
      <c r="Q65" s="5">
        <f>Table341011121318141516[[#This Row],[  75-79]]-Table341011[[#This Row],[  75-79]]</f>
        <v>-4373</v>
      </c>
      <c r="R65" s="5">
        <f>Table341011121318141516[[#This Row],[  80-84]]-Table341011[[#This Row],[  80-84]]</f>
        <v>-567</v>
      </c>
      <c r="S65" s="5">
        <f>Table341011121318141516[[#This Row],[  85-89]]-Table341011[[#This Row],[  85-89]]</f>
        <v>1549</v>
      </c>
      <c r="T65" s="5">
        <f>Table341011121318141516[[#This Row],[  90+]]-Table341011[[#This Row],[  90+]]</f>
        <v>2698</v>
      </c>
    </row>
    <row r="66" spans="1:20" x14ac:dyDescent="0.2">
      <c r="A66" s="10" t="s">
        <v>22</v>
      </c>
      <c r="B66" s="6" t="s">
        <v>0</v>
      </c>
      <c r="C66" s="5">
        <f>Table341011121318141516[[#This Row],[Total]]-Table341011[[#This Row],[Total]]</f>
        <v>342453</v>
      </c>
      <c r="D66" s="38">
        <f>Table341011121318141516[[#This Row],[  5-11]]-Table341011[[#This Row],[  5-11]]</f>
        <v>245216.02827363124</v>
      </c>
      <c r="E66" s="38">
        <f>Table341011121318141516[[#This Row],[  12-17]]-Table341011[[#This Row],[  12-17]]</f>
        <v>21994.193961902492</v>
      </c>
      <c r="F66" s="38">
        <f>Table341011121318141516[[#This Row],[  18-24]]-Table341011[[#This Row],[  18-24]]</f>
        <v>-36278.222235533729</v>
      </c>
      <c r="G66" s="5">
        <f>Table341011121318141516[[#This Row],[  25-29 ]]-Table341011[[#This Row],[  25-29 ]]</f>
        <v>23931</v>
      </c>
      <c r="H66" s="5">
        <f>Table341011121318141516[[#This Row],[  30-34]]-Table341011[[#This Row],[  30-34]]</f>
        <v>11159</v>
      </c>
      <c r="I66" s="5">
        <f>Table341011121318141516[[#This Row],[  35-39]]-Table341011[[#This Row],[  35-39]]</f>
        <v>8539</v>
      </c>
      <c r="J66" s="5">
        <f>Table341011121318141516[[#This Row],[  40-44]]-Table341011[[#This Row],[  40-44]]</f>
        <v>7995</v>
      </c>
      <c r="K66" s="5">
        <f>Table341011121318141516[[#This Row],[  45-49 ]]-Table341011[[#This Row],[  45-49 ]]</f>
        <v>18108</v>
      </c>
      <c r="L66" s="5">
        <f>Table341011121318141516[[#This Row],[  50-54]]-Table341011[[#This Row],[  50-54]]</f>
        <v>12474</v>
      </c>
      <c r="M66" s="5">
        <f>Table341011121318141516[[#This Row],[  55-59]]-Table341011[[#This Row],[  55-59]]</f>
        <v>15148</v>
      </c>
      <c r="N66" s="5">
        <f>Table341011121318141516[[#This Row],[  60-64]]-Table341011[[#This Row],[  60-64]]</f>
        <v>5789</v>
      </c>
      <c r="O66" s="5">
        <f>Table341011121318141516[[#This Row],[  65-69]]-Table341011[[#This Row],[  65-69]]</f>
        <v>5303</v>
      </c>
      <c r="P66" s="5">
        <f>Table341011121318141516[[#This Row],[  70-74]]-Table341011[[#This Row],[  70-74]]</f>
        <v>5594</v>
      </c>
      <c r="Q66" s="5">
        <f>Table341011121318141516[[#This Row],[  75-79]]-Table341011[[#This Row],[  75-79]]</f>
        <v>-2642</v>
      </c>
      <c r="R66" s="5">
        <f>Table341011121318141516[[#This Row],[  80-84]]-Table341011[[#This Row],[  80-84]]</f>
        <v>-811</v>
      </c>
      <c r="S66" s="5">
        <f>Table341011121318141516[[#This Row],[  85-89]]-Table341011[[#This Row],[  85-89]]</f>
        <v>353</v>
      </c>
      <c r="T66" s="5">
        <f>Table341011121318141516[[#This Row],[  90+]]-Table341011[[#This Row],[  90+]]</f>
        <v>581</v>
      </c>
    </row>
    <row r="67" spans="1:20" x14ac:dyDescent="0.2">
      <c r="A67" s="10" t="s">
        <v>22</v>
      </c>
      <c r="B67" s="6" t="s">
        <v>23</v>
      </c>
      <c r="C67" s="5">
        <f>Table341011121318141516[[#This Row],[Total]]-Table341011[[#This Row],[Total]]</f>
        <v>333340</v>
      </c>
      <c r="D67" s="38">
        <f>Table341011121318141516[[#This Row],[  5-11]]-Table341011[[#This Row],[  5-11]]</f>
        <v>229854.91800341476</v>
      </c>
      <c r="E67" s="38">
        <f>Table341011121318141516[[#This Row],[  12-17]]-Table341011[[#This Row],[  12-17]]</f>
        <v>17591.567399506748</v>
      </c>
      <c r="F67" s="38">
        <f>Table341011121318141516[[#This Row],[  18-24]]-Table341011[[#This Row],[  18-24]]</f>
        <v>-37574.485402921506</v>
      </c>
      <c r="G67" s="5">
        <f>Table341011121318141516[[#This Row],[  25-29 ]]-Table341011[[#This Row],[  25-29 ]]</f>
        <v>20295</v>
      </c>
      <c r="H67" s="5">
        <f>Table341011121318141516[[#This Row],[  30-34]]-Table341011[[#This Row],[  30-34]]</f>
        <v>12506</v>
      </c>
      <c r="I67" s="5">
        <f>Table341011121318141516[[#This Row],[  35-39]]-Table341011[[#This Row],[  35-39]]</f>
        <v>10179</v>
      </c>
      <c r="J67" s="5">
        <f>Table341011121318141516[[#This Row],[  40-44]]-Table341011[[#This Row],[  40-44]]</f>
        <v>9269</v>
      </c>
      <c r="K67" s="5">
        <f>Table341011121318141516[[#This Row],[  45-49 ]]-Table341011[[#This Row],[  45-49 ]]</f>
        <v>18576</v>
      </c>
      <c r="L67" s="5">
        <f>Table341011121318141516[[#This Row],[  50-54]]-Table341011[[#This Row],[  50-54]]</f>
        <v>12379</v>
      </c>
      <c r="M67" s="5">
        <f>Table341011121318141516[[#This Row],[  55-59]]-Table341011[[#This Row],[  55-59]]</f>
        <v>17196</v>
      </c>
      <c r="N67" s="5">
        <f>Table341011121318141516[[#This Row],[  60-64]]-Table341011[[#This Row],[  60-64]]</f>
        <v>8265</v>
      </c>
      <c r="O67" s="5">
        <f>Table341011121318141516[[#This Row],[  65-69]]-Table341011[[#This Row],[  65-69]]</f>
        <v>6362</v>
      </c>
      <c r="P67" s="5">
        <f>Table341011121318141516[[#This Row],[  70-74]]-Table341011[[#This Row],[  70-74]]</f>
        <v>6615</v>
      </c>
      <c r="Q67" s="5">
        <f>Table341011121318141516[[#This Row],[  75-79]]-Table341011[[#This Row],[  75-79]]</f>
        <v>-1731</v>
      </c>
      <c r="R67" s="5">
        <f>Table341011121318141516[[#This Row],[  80-84]]-Table341011[[#This Row],[  80-84]]</f>
        <v>244</v>
      </c>
      <c r="S67" s="5">
        <f>Table341011121318141516[[#This Row],[  85-89]]-Table341011[[#This Row],[  85-89]]</f>
        <v>1196</v>
      </c>
      <c r="T67" s="5">
        <f>Table341011121318141516[[#This Row],[  90+]]-Table341011[[#This Row],[  90+]]</f>
        <v>2117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A4C6-6AC7-5342-A2AC-8D9C200BB8C6}">
  <dimension ref="A1:T67"/>
  <sheetViews>
    <sheetView zoomScale="112" zoomScaleNormal="150" workbookViewId="0">
      <selection activeCell="J22" sqref="J2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Table3410111213181415[[#This Row],[Total]]-Table3410111213[[#This Row],[Total]]</f>
        <v>10947</v>
      </c>
      <c r="D2" s="38">
        <f>Table3410111213181415[[#This Row],[  5-11]]-Table3410111213[[#This Row],[  5-11]]</f>
        <v>4302.383669306455</v>
      </c>
      <c r="E2" s="38">
        <f>Table3410111213181415[[#This Row],[  12-17]]-Table3410111213[[#This Row],[  12-17]]</f>
        <v>1621.4874010079193</v>
      </c>
      <c r="F2" s="38">
        <f>Table3410111213181415[[#This Row],[  18-24]]-Table3410111213[[#This Row],[  18-24]]</f>
        <v>164.12892968562574</v>
      </c>
      <c r="G2" s="38">
        <f>Table3410111213181415[[#This Row],[  25-29 ]]-Table3410111213[[#This Row],[  25-29 ]]</f>
        <v>1119</v>
      </c>
      <c r="H2" s="5">
        <f>Table3410111213181415[[#This Row],[  30-34]]-Table3410111213[[#This Row],[  30-34]]</f>
        <v>817</v>
      </c>
      <c r="I2" s="5">
        <f>Table3410111213181415[[#This Row],[  35-39]]-Table3410111213[[#This Row],[  35-39]]</f>
        <v>444</v>
      </c>
      <c r="J2" s="5">
        <f>Table3410111213181415[[#This Row],[  40-44]]-Table3410111213[[#This Row],[  40-44]]</f>
        <v>480</v>
      </c>
      <c r="K2" s="5">
        <f>Table3410111213181415[[#This Row],[  45-49 ]]-Table3410111213[[#This Row],[  45-49 ]]</f>
        <v>487</v>
      </c>
      <c r="L2" s="5">
        <f>Table3410111213181415[[#This Row],[  50-54]]-Table3410111213[[#This Row],[  50-54]]</f>
        <v>247</v>
      </c>
      <c r="M2" s="5">
        <f>Table3410111213181415[[#This Row],[  55-59]]-Table3410111213[[#This Row],[  55-59]]</f>
        <v>421</v>
      </c>
      <c r="N2" s="5">
        <f>Table3410111213181415[[#This Row],[  60-64]]-Table3410111213[[#This Row],[  60-64]]</f>
        <v>244</v>
      </c>
      <c r="O2" s="5">
        <f>Table3410111213181415[[#This Row],[  65-69]]-Table3410111213[[#This Row],[  65-69]]</f>
        <v>186</v>
      </c>
      <c r="P2" s="5">
        <f>Table3410111213181415[[#This Row],[  70-74]]-Table3410111213[[#This Row],[  70-74]]</f>
        <v>144</v>
      </c>
      <c r="Q2" s="5">
        <f>Table3410111213181415[[#This Row],[  75-79]]-Table3410111213[[#This Row],[  75-79]]</f>
        <v>111</v>
      </c>
      <c r="R2" s="5">
        <f>Table3410111213181415[[#This Row],[  80-84]]-Table3410111213[[#This Row],[  80-84]]</f>
        <v>67</v>
      </c>
      <c r="S2" s="5">
        <f>Table3410111213181415[[#This Row],[  85-89]]-Table3410111213[[#This Row],[  85-89]]</f>
        <v>62</v>
      </c>
      <c r="T2" s="5">
        <f>Table3410111213181415[[#This Row],[  90+]]-Table3410111213[[#This Row],[  90+]]</f>
        <v>30</v>
      </c>
    </row>
    <row r="3" spans="1:20" x14ac:dyDescent="0.2">
      <c r="A3" s="9" t="s">
        <v>1</v>
      </c>
      <c r="B3" s="6" t="s">
        <v>0</v>
      </c>
      <c r="C3" s="5">
        <f>Table3410111213181415[[#This Row],[Total]]-Table3410111213[[#This Row],[Total]]</f>
        <v>5779</v>
      </c>
      <c r="D3" s="38">
        <f>Table3410111213181415[[#This Row],[  5-11]]-Table3410111213[[#This Row],[  5-11]]</f>
        <v>2185.9867615326298</v>
      </c>
      <c r="E3" s="38">
        <f>Table3410111213181415[[#This Row],[  12-17]]-Table3410111213[[#This Row],[  12-17]]</f>
        <v>843.95701872047584</v>
      </c>
      <c r="F3" s="38">
        <f>Table3410111213181415[[#This Row],[  18-24]]-Table3410111213[[#This Row],[  18-24]]</f>
        <v>239.05621974689484</v>
      </c>
      <c r="G3" s="38">
        <f>Table3410111213181415[[#This Row],[  25-29 ]]-Table3410111213[[#This Row],[  25-29 ]]</f>
        <v>594</v>
      </c>
      <c r="H3" s="5">
        <f>Table3410111213181415[[#This Row],[  30-34]]-Table3410111213[[#This Row],[  30-34]]</f>
        <v>444</v>
      </c>
      <c r="I3" s="5">
        <f>Table3410111213181415[[#This Row],[  35-39]]-Table3410111213[[#This Row],[  35-39]]</f>
        <v>188</v>
      </c>
      <c r="J3" s="5">
        <f>Table3410111213181415[[#This Row],[  40-44]]-Table3410111213[[#This Row],[  40-44]]</f>
        <v>215</v>
      </c>
      <c r="K3" s="5">
        <f>Table3410111213181415[[#This Row],[  45-49 ]]-Table3410111213[[#This Row],[  45-49 ]]</f>
        <v>312</v>
      </c>
      <c r="L3" s="5">
        <f>Table3410111213181415[[#This Row],[  50-54]]-Table3410111213[[#This Row],[  50-54]]</f>
        <v>99</v>
      </c>
      <c r="M3" s="5">
        <f>Table3410111213181415[[#This Row],[  55-59]]-Table3410111213[[#This Row],[  55-59]]</f>
        <v>203</v>
      </c>
      <c r="N3" s="5">
        <f>Table3410111213181415[[#This Row],[  60-64]]-Table3410111213[[#This Row],[  60-64]]</f>
        <v>147</v>
      </c>
      <c r="O3" s="5">
        <f>Table3410111213181415[[#This Row],[  65-69]]-Table3410111213[[#This Row],[  65-69]]</f>
        <v>104</v>
      </c>
      <c r="P3" s="5">
        <f>Table3410111213181415[[#This Row],[  70-74]]-Table3410111213[[#This Row],[  70-74]]</f>
        <v>72</v>
      </c>
      <c r="Q3" s="5">
        <f>Table3410111213181415[[#This Row],[  75-79]]-Table3410111213[[#This Row],[  75-79]]</f>
        <v>62</v>
      </c>
      <c r="R3" s="5">
        <f>Table3410111213181415[[#This Row],[  80-84]]-Table3410111213[[#This Row],[  80-84]]</f>
        <v>31</v>
      </c>
      <c r="S3" s="5">
        <f>Table3410111213181415[[#This Row],[  85-89]]-Table3410111213[[#This Row],[  85-89]]</f>
        <v>19</v>
      </c>
      <c r="T3" s="5">
        <f>Table3410111213181415[[#This Row],[  90+]]-Table3410111213[[#This Row],[  90+]]</f>
        <v>20</v>
      </c>
    </row>
    <row r="4" spans="1:20" x14ac:dyDescent="0.2">
      <c r="A4" s="9" t="s">
        <v>1</v>
      </c>
      <c r="B4" s="6" t="s">
        <v>23</v>
      </c>
      <c r="C4" s="5">
        <f>Table3410111213181415[[#This Row],[Total]]-Table3410111213[[#This Row],[Total]]</f>
        <v>5168</v>
      </c>
      <c r="D4" s="38">
        <f>Table3410111213181415[[#This Row],[  5-11]]-Table3410111213[[#This Row],[  5-11]]</f>
        <v>2116.5966646077823</v>
      </c>
      <c r="E4" s="38">
        <f>Table3410111213181415[[#This Row],[  12-17]]-Table3410111213[[#This Row],[  12-17]]</f>
        <v>777.34898085237774</v>
      </c>
      <c r="F4" s="38">
        <f>Table3410111213181415[[#This Row],[  18-24]]-Table3410111213[[#This Row],[  18-24]]</f>
        <v>-74.945645460160449</v>
      </c>
      <c r="G4" s="38">
        <f>Table3410111213181415[[#This Row],[  25-29 ]]-Table3410111213[[#This Row],[  25-29 ]]</f>
        <v>525</v>
      </c>
      <c r="H4" s="5">
        <f>Table3410111213181415[[#This Row],[  30-34]]-Table3410111213[[#This Row],[  30-34]]</f>
        <v>373</v>
      </c>
      <c r="I4" s="5">
        <f>Table3410111213181415[[#This Row],[  35-39]]-Table3410111213[[#This Row],[  35-39]]</f>
        <v>256</v>
      </c>
      <c r="J4" s="5">
        <f>Table3410111213181415[[#This Row],[  40-44]]-Table3410111213[[#This Row],[  40-44]]</f>
        <v>265</v>
      </c>
      <c r="K4" s="5">
        <f>Table3410111213181415[[#This Row],[  45-49 ]]-Table3410111213[[#This Row],[  45-49 ]]</f>
        <v>175</v>
      </c>
      <c r="L4" s="5">
        <f>Table3410111213181415[[#This Row],[  50-54]]-Table3410111213[[#This Row],[  50-54]]</f>
        <v>148</v>
      </c>
      <c r="M4" s="5">
        <f>Table3410111213181415[[#This Row],[  55-59]]-Table3410111213[[#This Row],[  55-59]]</f>
        <v>218</v>
      </c>
      <c r="N4" s="5">
        <f>Table3410111213181415[[#This Row],[  60-64]]-Table3410111213[[#This Row],[  60-64]]</f>
        <v>97</v>
      </c>
      <c r="O4" s="5">
        <f>Table3410111213181415[[#This Row],[  65-69]]-Table3410111213[[#This Row],[  65-69]]</f>
        <v>82</v>
      </c>
      <c r="P4" s="5">
        <f>Table3410111213181415[[#This Row],[  70-74]]-Table3410111213[[#This Row],[  70-74]]</f>
        <v>72</v>
      </c>
      <c r="Q4" s="5">
        <f>Table3410111213181415[[#This Row],[  75-79]]-Table3410111213[[#This Row],[  75-79]]</f>
        <v>49</v>
      </c>
      <c r="R4" s="5">
        <f>Table3410111213181415[[#This Row],[  80-84]]-Table3410111213[[#This Row],[  80-84]]</f>
        <v>36</v>
      </c>
      <c r="S4" s="5">
        <f>Table3410111213181415[[#This Row],[  85-89]]-Table3410111213[[#This Row],[  85-89]]</f>
        <v>43</v>
      </c>
      <c r="T4" s="5">
        <f>Table3410111213181415[[#This Row],[  90+]]-Table3410111213[[#This Row],[  90+]]</f>
        <v>10</v>
      </c>
    </row>
    <row r="5" spans="1:20" ht="15" x14ac:dyDescent="0.2">
      <c r="A5" s="8" t="s">
        <v>2</v>
      </c>
      <c r="B5" s="6" t="s">
        <v>22</v>
      </c>
      <c r="C5" s="5">
        <f>Table3410111213181415[[#This Row],[Total]]-Table3410111213[[#This Row],[Total]]</f>
        <v>21950</v>
      </c>
      <c r="D5" s="38">
        <f>Table3410111213181415[[#This Row],[  5-11]]-Table3410111213[[#This Row],[  5-11]]</f>
        <v>8910.5877729781623</v>
      </c>
      <c r="E5" s="38">
        <f>Table3410111213181415[[#This Row],[  12-17]]-Table3410111213[[#This Row],[  12-17]]</f>
        <v>3104.0835133189339</v>
      </c>
      <c r="F5" s="38">
        <f>Table3410111213181415[[#This Row],[  18-24]]-Table3410111213[[#This Row],[  18-24]]</f>
        <v>2718.3287137029038</v>
      </c>
      <c r="G5" s="38">
        <f>Table3410111213181415[[#This Row],[  25-29 ]]-Table3410111213[[#This Row],[  25-29 ]]</f>
        <v>1197</v>
      </c>
      <c r="H5" s="5">
        <f>Table3410111213181415[[#This Row],[  30-34]]-Table3410111213[[#This Row],[  30-34]]</f>
        <v>1289</v>
      </c>
      <c r="I5" s="5">
        <f>Table3410111213181415[[#This Row],[  35-39]]-Table3410111213[[#This Row],[  35-39]]</f>
        <v>1089</v>
      </c>
      <c r="J5" s="5">
        <f>Table3410111213181415[[#This Row],[  40-44]]-Table3410111213[[#This Row],[  40-44]]</f>
        <v>784</v>
      </c>
      <c r="K5" s="5">
        <f>Table3410111213181415[[#This Row],[  45-49 ]]-Table3410111213[[#This Row],[  45-49 ]]</f>
        <v>869</v>
      </c>
      <c r="L5" s="5">
        <f>Table3410111213181415[[#This Row],[  50-54]]-Table3410111213[[#This Row],[  50-54]]</f>
        <v>606</v>
      </c>
      <c r="M5" s="5">
        <f>Table3410111213181415[[#This Row],[  55-59]]-Table3410111213[[#This Row],[  55-59]]</f>
        <v>627</v>
      </c>
      <c r="N5" s="5">
        <f>Table3410111213181415[[#This Row],[  60-64]]-Table3410111213[[#This Row],[  60-64]]</f>
        <v>261</v>
      </c>
      <c r="O5" s="5">
        <f>Table3410111213181415[[#This Row],[  65-69]]-Table3410111213[[#This Row],[  65-69]]</f>
        <v>198</v>
      </c>
      <c r="P5" s="5">
        <f>Table3410111213181415[[#This Row],[  70-74]]-Table3410111213[[#This Row],[  70-74]]</f>
        <v>139</v>
      </c>
      <c r="Q5" s="5">
        <f>Table3410111213181415[[#This Row],[  75-79]]-Table3410111213[[#This Row],[  75-79]]</f>
        <v>46</v>
      </c>
      <c r="R5" s="5">
        <f>Table3410111213181415[[#This Row],[  80-84]]-Table3410111213[[#This Row],[  80-84]]</f>
        <v>29</v>
      </c>
      <c r="S5" s="5">
        <f>Table3410111213181415[[#This Row],[  85-89]]-Table3410111213[[#This Row],[  85-89]]</f>
        <v>49</v>
      </c>
      <c r="T5" s="5">
        <f>Table3410111213181415[[#This Row],[  90+]]-Table3410111213[[#This Row],[  90+]]</f>
        <v>34</v>
      </c>
    </row>
    <row r="6" spans="1:20" ht="15" x14ac:dyDescent="0.2">
      <c r="A6" s="8" t="s">
        <v>2</v>
      </c>
      <c r="B6" s="6" t="s">
        <v>0</v>
      </c>
      <c r="C6" s="5">
        <f>Table3410111213181415[[#This Row],[Total]]-Table3410111213[[#This Row],[Total]]</f>
        <v>11691</v>
      </c>
      <c r="D6" s="38">
        <f>Table3410111213181415[[#This Row],[  5-11]]-Table3410111213[[#This Row],[  5-11]]</f>
        <v>4608.4979296669972</v>
      </c>
      <c r="E6" s="38">
        <f>Table3410111213181415[[#This Row],[  12-17]]-Table3410111213[[#This Row],[  12-17]]</f>
        <v>1671.8765381699423</v>
      </c>
      <c r="F6" s="38">
        <f>Table3410111213181415[[#This Row],[  18-24]]-Table3410111213[[#This Row],[  18-24]]</f>
        <v>1433.6255321630606</v>
      </c>
      <c r="G6" s="38">
        <f>Table3410111213181415[[#This Row],[  25-29 ]]-Table3410111213[[#This Row],[  25-29 ]]</f>
        <v>685</v>
      </c>
      <c r="H6" s="5">
        <f>Table3410111213181415[[#This Row],[  30-34]]-Table3410111213[[#This Row],[  30-34]]</f>
        <v>661</v>
      </c>
      <c r="I6" s="5">
        <f>Table3410111213181415[[#This Row],[  35-39]]-Table3410111213[[#This Row],[  35-39]]</f>
        <v>581</v>
      </c>
      <c r="J6" s="5">
        <f>Table3410111213181415[[#This Row],[  40-44]]-Table3410111213[[#This Row],[  40-44]]</f>
        <v>439</v>
      </c>
      <c r="K6" s="5">
        <f>Table3410111213181415[[#This Row],[  45-49 ]]-Table3410111213[[#This Row],[  45-49 ]]</f>
        <v>476</v>
      </c>
      <c r="L6" s="5">
        <f>Table3410111213181415[[#This Row],[  50-54]]-Table3410111213[[#This Row],[  50-54]]</f>
        <v>369</v>
      </c>
      <c r="M6" s="5">
        <f>Table3410111213181415[[#This Row],[  55-59]]-Table3410111213[[#This Row],[  55-59]]</f>
        <v>330</v>
      </c>
      <c r="N6" s="5">
        <f>Table3410111213181415[[#This Row],[  60-64]]-Table3410111213[[#This Row],[  60-64]]</f>
        <v>160</v>
      </c>
      <c r="O6" s="5">
        <f>Table3410111213181415[[#This Row],[  65-69]]-Table3410111213[[#This Row],[  65-69]]</f>
        <v>119</v>
      </c>
      <c r="P6" s="5">
        <f>Table3410111213181415[[#This Row],[  70-74]]-Table3410111213[[#This Row],[  70-74]]</f>
        <v>85</v>
      </c>
      <c r="Q6" s="5">
        <f>Table3410111213181415[[#This Row],[  75-79]]-Table3410111213[[#This Row],[  75-79]]</f>
        <v>20</v>
      </c>
      <c r="R6" s="5">
        <f>Table3410111213181415[[#This Row],[  80-84]]-Table3410111213[[#This Row],[  80-84]]</f>
        <v>17</v>
      </c>
      <c r="S6" s="5">
        <f>Table3410111213181415[[#This Row],[  85-89]]-Table3410111213[[#This Row],[  85-89]]</f>
        <v>21</v>
      </c>
      <c r="T6" s="5">
        <f>Table3410111213181415[[#This Row],[  90+]]-Table3410111213[[#This Row],[  90+]]</f>
        <v>14</v>
      </c>
    </row>
    <row r="7" spans="1:20" ht="15" x14ac:dyDescent="0.2">
      <c r="A7" s="8" t="s">
        <v>2</v>
      </c>
      <c r="B7" s="6" t="s">
        <v>23</v>
      </c>
      <c r="C7" s="5">
        <f>Table3410111213181415[[#This Row],[Total]]-Table3410111213[[#This Row],[Total]]</f>
        <v>10259</v>
      </c>
      <c r="D7" s="38">
        <f>Table3410111213181415[[#This Row],[  5-11]]-Table3410111213[[#This Row],[  5-11]]</f>
        <v>4302.5978999382332</v>
      </c>
      <c r="E7" s="38">
        <f>Table3410111213181415[[#This Row],[  12-17]]-Table3410111213[[#This Row],[  12-17]]</f>
        <v>1431.9604694255709</v>
      </c>
      <c r="F7" s="38">
        <f>Table3410111213181415[[#This Row],[  18-24]]-Table3410111213[[#This Row],[  18-24]]</f>
        <v>1284.4416306361954</v>
      </c>
      <c r="G7" s="38">
        <f>Table3410111213181415[[#This Row],[  25-29 ]]-Table3410111213[[#This Row],[  25-29 ]]</f>
        <v>512</v>
      </c>
      <c r="H7" s="5">
        <f>Table3410111213181415[[#This Row],[  30-34]]-Table3410111213[[#This Row],[  30-34]]</f>
        <v>628</v>
      </c>
      <c r="I7" s="5">
        <f>Table3410111213181415[[#This Row],[  35-39]]-Table3410111213[[#This Row],[  35-39]]</f>
        <v>508</v>
      </c>
      <c r="J7" s="5">
        <f>Table3410111213181415[[#This Row],[  40-44]]-Table3410111213[[#This Row],[  40-44]]</f>
        <v>345</v>
      </c>
      <c r="K7" s="5">
        <f>Table3410111213181415[[#This Row],[  45-49 ]]-Table3410111213[[#This Row],[  45-49 ]]</f>
        <v>393</v>
      </c>
      <c r="L7" s="5">
        <f>Table3410111213181415[[#This Row],[  50-54]]-Table3410111213[[#This Row],[  50-54]]</f>
        <v>237</v>
      </c>
      <c r="M7" s="5">
        <f>Table3410111213181415[[#This Row],[  55-59]]-Table3410111213[[#This Row],[  55-59]]</f>
        <v>297</v>
      </c>
      <c r="N7" s="5">
        <f>Table3410111213181415[[#This Row],[  60-64]]-Table3410111213[[#This Row],[  60-64]]</f>
        <v>101</v>
      </c>
      <c r="O7" s="5">
        <f>Table3410111213181415[[#This Row],[  65-69]]-Table3410111213[[#This Row],[  65-69]]</f>
        <v>79</v>
      </c>
      <c r="P7" s="5">
        <f>Table3410111213181415[[#This Row],[  70-74]]-Table3410111213[[#This Row],[  70-74]]</f>
        <v>54</v>
      </c>
      <c r="Q7" s="5">
        <f>Table3410111213181415[[#This Row],[  75-79]]-Table3410111213[[#This Row],[  75-79]]</f>
        <v>26</v>
      </c>
      <c r="R7" s="5">
        <f>Table3410111213181415[[#This Row],[  80-84]]-Table3410111213[[#This Row],[  80-84]]</f>
        <v>12</v>
      </c>
      <c r="S7" s="5">
        <f>Table3410111213181415[[#This Row],[  85-89]]-Table3410111213[[#This Row],[  85-89]]</f>
        <v>28</v>
      </c>
      <c r="T7" s="5">
        <f>Table3410111213181415[[#This Row],[  90+]]-Table3410111213[[#This Row],[  90+]]</f>
        <v>20</v>
      </c>
    </row>
    <row r="8" spans="1:20" x14ac:dyDescent="0.2">
      <c r="A8" s="9" t="s">
        <v>3</v>
      </c>
      <c r="B8" s="6" t="s">
        <v>22</v>
      </c>
      <c r="C8" s="5">
        <f>Table3410111213181415[[#This Row],[Total]]-Table3410111213[[#This Row],[Total]]</f>
        <v>16492</v>
      </c>
      <c r="D8" s="38">
        <f>Table3410111213181415[[#This Row],[  5-11]]-Table3410111213[[#This Row],[  5-11]]</f>
        <v>6932.8134749220062</v>
      </c>
      <c r="E8" s="38">
        <f>Table3410111213181415[[#This Row],[  12-17]]-Table3410111213[[#This Row],[  12-17]]</f>
        <v>2491.8696904247654</v>
      </c>
      <c r="F8" s="38">
        <f>Table3410111213181415[[#This Row],[  18-24]]-Table3410111213[[#This Row],[  18-24]]</f>
        <v>1248.3168346532284</v>
      </c>
      <c r="G8" s="38">
        <f>Table3410111213181415[[#This Row],[  25-29 ]]-Table3410111213[[#This Row],[  25-29 ]]</f>
        <v>1287</v>
      </c>
      <c r="H8" s="5">
        <f>Table3410111213181415[[#This Row],[  30-34]]-Table3410111213[[#This Row],[  30-34]]</f>
        <v>1007</v>
      </c>
      <c r="I8" s="5">
        <f>Table3410111213181415[[#This Row],[  35-39]]-Table3410111213[[#This Row],[  35-39]]</f>
        <v>668</v>
      </c>
      <c r="J8" s="5">
        <f>Table3410111213181415[[#This Row],[  40-44]]-Table3410111213[[#This Row],[  40-44]]</f>
        <v>782</v>
      </c>
      <c r="K8" s="5">
        <f>Table3410111213181415[[#This Row],[  45-49 ]]-Table3410111213[[#This Row],[  45-49 ]]</f>
        <v>727</v>
      </c>
      <c r="L8" s="5">
        <f>Table3410111213181415[[#This Row],[  50-54]]-Table3410111213[[#This Row],[  50-54]]</f>
        <v>619</v>
      </c>
      <c r="M8" s="5">
        <f>Table3410111213181415[[#This Row],[  55-59]]-Table3410111213[[#This Row],[  55-59]]</f>
        <v>338</v>
      </c>
      <c r="N8" s="5">
        <f>Table3410111213181415[[#This Row],[  60-64]]-Table3410111213[[#This Row],[  60-64]]</f>
        <v>142</v>
      </c>
      <c r="O8" s="5">
        <f>Table3410111213181415[[#This Row],[  65-69]]-Table3410111213[[#This Row],[  65-69]]</f>
        <v>115</v>
      </c>
      <c r="P8" s="5">
        <f>Table3410111213181415[[#This Row],[  70-74]]-Table3410111213[[#This Row],[  70-74]]</f>
        <v>20</v>
      </c>
      <c r="Q8" s="5">
        <f>Table3410111213181415[[#This Row],[  75-79]]-Table3410111213[[#This Row],[  75-79]]</f>
        <v>32</v>
      </c>
      <c r="R8" s="5">
        <f>Table3410111213181415[[#This Row],[  80-84]]-Table3410111213[[#This Row],[  80-84]]</f>
        <v>19</v>
      </c>
      <c r="S8" s="5">
        <f>Table3410111213181415[[#This Row],[  85-89]]-Table3410111213[[#This Row],[  85-89]]</f>
        <v>44</v>
      </c>
      <c r="T8" s="5">
        <f>Table3410111213181415[[#This Row],[  90+]]-Table3410111213[[#This Row],[  90+]]</f>
        <v>19</v>
      </c>
    </row>
    <row r="9" spans="1:20" x14ac:dyDescent="0.2">
      <c r="A9" s="9" t="s">
        <v>3</v>
      </c>
      <c r="B9" s="6" t="s">
        <v>0</v>
      </c>
      <c r="C9" s="5">
        <f>Table3410111213181415[[#This Row],[Total]]-Table3410111213[[#This Row],[Total]]</f>
        <v>9336</v>
      </c>
      <c r="D9" s="38">
        <f>Table3410111213181415[[#This Row],[  5-11]]-Table3410111213[[#This Row],[  5-11]]</f>
        <v>3614.7505686125851</v>
      </c>
      <c r="E9" s="38">
        <f>Table3410111213181415[[#This Row],[  12-17]]-Table3410111213[[#This Row],[  12-17]]</f>
        <v>1340.6747536012131</v>
      </c>
      <c r="F9" s="38">
        <f>Table3410111213181415[[#This Row],[  18-24]]-Table3410111213[[#This Row],[  18-24]]</f>
        <v>775.57467778620185</v>
      </c>
      <c r="G9" s="38">
        <f>Table3410111213181415[[#This Row],[  25-29 ]]-Table3410111213[[#This Row],[  25-29 ]]</f>
        <v>737</v>
      </c>
      <c r="H9" s="5">
        <f>Table3410111213181415[[#This Row],[  30-34]]-Table3410111213[[#This Row],[  30-34]]</f>
        <v>590</v>
      </c>
      <c r="I9" s="5">
        <f>Table3410111213181415[[#This Row],[  35-39]]-Table3410111213[[#This Row],[  35-39]]</f>
        <v>407</v>
      </c>
      <c r="J9" s="5">
        <f>Table3410111213181415[[#This Row],[  40-44]]-Table3410111213[[#This Row],[  40-44]]</f>
        <v>439</v>
      </c>
      <c r="K9" s="5">
        <f>Table3410111213181415[[#This Row],[  45-49 ]]-Table3410111213[[#This Row],[  45-49 ]]</f>
        <v>433</v>
      </c>
      <c r="L9" s="5">
        <f>Table3410111213181415[[#This Row],[  50-54]]-Table3410111213[[#This Row],[  50-54]]</f>
        <v>410</v>
      </c>
      <c r="M9" s="5">
        <f>Table3410111213181415[[#This Row],[  55-59]]-Table3410111213[[#This Row],[  55-59]]</f>
        <v>200</v>
      </c>
      <c r="N9" s="5">
        <f>Table3410111213181415[[#This Row],[  60-64]]-Table3410111213[[#This Row],[  60-64]]</f>
        <v>150</v>
      </c>
      <c r="O9" s="5">
        <f>Table3410111213181415[[#This Row],[  65-69]]-Table3410111213[[#This Row],[  65-69]]</f>
        <v>108</v>
      </c>
      <c r="P9" s="5">
        <f>Table3410111213181415[[#This Row],[  70-74]]-Table3410111213[[#This Row],[  70-74]]</f>
        <v>62</v>
      </c>
      <c r="Q9" s="5">
        <f>Table3410111213181415[[#This Row],[  75-79]]-Table3410111213[[#This Row],[  75-79]]</f>
        <v>42</v>
      </c>
      <c r="R9" s="5">
        <f>Table3410111213181415[[#This Row],[  80-84]]-Table3410111213[[#This Row],[  80-84]]</f>
        <v>-7</v>
      </c>
      <c r="S9" s="5">
        <f>Table3410111213181415[[#This Row],[  85-89]]-Table3410111213[[#This Row],[  85-89]]</f>
        <v>23</v>
      </c>
      <c r="T9" s="5">
        <f>Table3410111213181415[[#This Row],[  90+]]-Table3410111213[[#This Row],[  90+]]</f>
        <v>11</v>
      </c>
    </row>
    <row r="10" spans="1:20" x14ac:dyDescent="0.2">
      <c r="A10" s="9" t="s">
        <v>3</v>
      </c>
      <c r="B10" s="6" t="s">
        <v>23</v>
      </c>
      <c r="C10" s="5">
        <f>Table3410111213181415[[#This Row],[Total]]-Table3410111213[[#This Row],[Total]]</f>
        <v>7156</v>
      </c>
      <c r="D10" s="38">
        <f>Table3410111213181415[[#This Row],[  5-11]]-Table3410111213[[#This Row],[  5-11]]</f>
        <v>3318.6182828906731</v>
      </c>
      <c r="E10" s="38">
        <f>Table3410111213181415[[#This Row],[  12-17]]-Table3410111213[[#This Row],[  12-17]]</f>
        <v>1151.0500308832611</v>
      </c>
      <c r="F10" s="38">
        <f>Table3410111213181415[[#This Row],[  18-24]]-Table3410111213[[#This Row],[  18-24]]</f>
        <v>472.33168622606536</v>
      </c>
      <c r="G10" s="38">
        <f>Table3410111213181415[[#This Row],[  25-29 ]]-Table3410111213[[#This Row],[  25-29 ]]</f>
        <v>550</v>
      </c>
      <c r="H10" s="5">
        <f>Table3410111213181415[[#This Row],[  30-34]]-Table3410111213[[#This Row],[  30-34]]</f>
        <v>417</v>
      </c>
      <c r="I10" s="5">
        <f>Table3410111213181415[[#This Row],[  35-39]]-Table3410111213[[#This Row],[  35-39]]</f>
        <v>261</v>
      </c>
      <c r="J10" s="5">
        <f>Table3410111213181415[[#This Row],[  40-44]]-Table3410111213[[#This Row],[  40-44]]</f>
        <v>343</v>
      </c>
      <c r="K10" s="5">
        <f>Table3410111213181415[[#This Row],[  45-49 ]]-Table3410111213[[#This Row],[  45-49 ]]</f>
        <v>294</v>
      </c>
      <c r="L10" s="5">
        <f>Table3410111213181415[[#This Row],[  50-54]]-Table3410111213[[#This Row],[  50-54]]</f>
        <v>209</v>
      </c>
      <c r="M10" s="5">
        <f>Table3410111213181415[[#This Row],[  55-59]]-Table3410111213[[#This Row],[  55-59]]</f>
        <v>138</v>
      </c>
      <c r="N10" s="5">
        <f>Table3410111213181415[[#This Row],[  60-64]]-Table3410111213[[#This Row],[  60-64]]</f>
        <v>-8</v>
      </c>
      <c r="O10" s="5">
        <f>Table3410111213181415[[#This Row],[  65-69]]-Table3410111213[[#This Row],[  65-69]]</f>
        <v>7</v>
      </c>
      <c r="P10" s="5">
        <f>Table3410111213181415[[#This Row],[  70-74]]-Table3410111213[[#This Row],[  70-74]]</f>
        <v>-42</v>
      </c>
      <c r="Q10" s="5">
        <f>Table3410111213181415[[#This Row],[  75-79]]-Table3410111213[[#This Row],[  75-79]]</f>
        <v>-10</v>
      </c>
      <c r="R10" s="5">
        <f>Table3410111213181415[[#This Row],[  80-84]]-Table3410111213[[#This Row],[  80-84]]</f>
        <v>26</v>
      </c>
      <c r="S10" s="5">
        <f>Table3410111213181415[[#This Row],[  85-89]]-Table3410111213[[#This Row],[  85-89]]</f>
        <v>21</v>
      </c>
      <c r="T10" s="5">
        <f>Table3410111213181415[[#This Row],[  90+]]-Table3410111213[[#This Row],[  90+]]</f>
        <v>8</v>
      </c>
    </row>
    <row r="11" spans="1:20" x14ac:dyDescent="0.2">
      <c r="A11" s="9" t="s">
        <v>4</v>
      </c>
      <c r="B11" s="6" t="s">
        <v>22</v>
      </c>
      <c r="C11" s="5">
        <f>Table3410111213181415[[#This Row],[Total]]-Table3410111213[[#This Row],[Total]]</f>
        <v>8985</v>
      </c>
      <c r="D11" s="38">
        <f>Table3410111213181415[[#This Row],[  5-11]]-Table3410111213[[#This Row],[  5-11]]</f>
        <v>4287.689944804416</v>
      </c>
      <c r="E11" s="38">
        <f>Table3410111213181415[[#This Row],[  12-17]]-Table3410111213[[#This Row],[  12-17]]</f>
        <v>1602.6270698344133</v>
      </c>
      <c r="F11" s="38">
        <f>Table3410111213181415[[#This Row],[  18-24]]-Table3410111213[[#This Row],[  18-24]]</f>
        <v>-60.317014638828368</v>
      </c>
      <c r="G11" s="38">
        <f>Table3410111213181415[[#This Row],[  25-29 ]]-Table3410111213[[#This Row],[  25-29 ]]</f>
        <v>792</v>
      </c>
      <c r="H11" s="5">
        <f>Table3410111213181415[[#This Row],[  30-34]]-Table3410111213[[#This Row],[  30-34]]</f>
        <v>676</v>
      </c>
      <c r="I11" s="5">
        <f>Table3410111213181415[[#This Row],[  35-39]]-Table3410111213[[#This Row],[  35-39]]</f>
        <v>371</v>
      </c>
      <c r="J11" s="5">
        <f>Table3410111213181415[[#This Row],[  40-44]]-Table3410111213[[#This Row],[  40-44]]</f>
        <v>451</v>
      </c>
      <c r="K11" s="5">
        <f>Table3410111213181415[[#This Row],[  45-49 ]]-Table3410111213[[#This Row],[  45-49 ]]</f>
        <v>305</v>
      </c>
      <c r="L11" s="5">
        <f>Table3410111213181415[[#This Row],[  50-54]]-Table3410111213[[#This Row],[  50-54]]</f>
        <v>269</v>
      </c>
      <c r="M11" s="5">
        <f>Table3410111213181415[[#This Row],[  55-59]]-Table3410111213[[#This Row],[  55-59]]</f>
        <v>239</v>
      </c>
      <c r="N11" s="5">
        <f>Table3410111213181415[[#This Row],[  60-64]]-Table3410111213[[#This Row],[  60-64]]</f>
        <v>19</v>
      </c>
      <c r="O11" s="5">
        <f>Table3410111213181415[[#This Row],[  65-69]]-Table3410111213[[#This Row],[  65-69]]</f>
        <v>18</v>
      </c>
      <c r="P11" s="5">
        <f>Table3410111213181415[[#This Row],[  70-74]]-Table3410111213[[#This Row],[  70-74]]</f>
        <v>4</v>
      </c>
      <c r="Q11" s="5">
        <f>Table3410111213181415[[#This Row],[  75-79]]-Table3410111213[[#This Row],[  75-79]]</f>
        <v>21</v>
      </c>
      <c r="R11" s="5">
        <f>Table3410111213181415[[#This Row],[  80-84]]-Table3410111213[[#This Row],[  80-84]]</f>
        <v>-33</v>
      </c>
      <c r="S11" s="5">
        <f>Table3410111213181415[[#This Row],[  85-89]]-Table3410111213[[#This Row],[  85-89]]</f>
        <v>12</v>
      </c>
      <c r="T11" s="5">
        <f>Table3410111213181415[[#This Row],[  90+]]-Table3410111213[[#This Row],[  90+]]</f>
        <v>11</v>
      </c>
    </row>
    <row r="12" spans="1:20" x14ac:dyDescent="0.2">
      <c r="A12" s="9" t="s">
        <v>4</v>
      </c>
      <c r="B12" s="6" t="s">
        <v>0</v>
      </c>
      <c r="C12" s="5">
        <f>Table3410111213181415[[#This Row],[Total]]-Table3410111213[[#This Row],[Total]]</f>
        <v>4617</v>
      </c>
      <c r="D12" s="38">
        <f>Table3410111213181415[[#This Row],[  5-11]]-Table3410111213[[#This Row],[  5-11]]</f>
        <v>2129.0275266810522</v>
      </c>
      <c r="E12" s="38">
        <f>Table3410111213181415[[#This Row],[  12-17]]-Table3410111213[[#This Row],[  12-17]]</f>
        <v>753.33166151513387</v>
      </c>
      <c r="F12" s="38">
        <f>Table3410111213181415[[#This Row],[  18-24]]-Table3410111213[[#This Row],[  18-24]]</f>
        <v>127.64081180381436</v>
      </c>
      <c r="G12" s="38">
        <f>Table3410111213181415[[#This Row],[  25-29 ]]-Table3410111213[[#This Row],[  25-29 ]]</f>
        <v>431</v>
      </c>
      <c r="H12" s="5">
        <f>Table3410111213181415[[#This Row],[  30-34]]-Table3410111213[[#This Row],[  30-34]]</f>
        <v>345</v>
      </c>
      <c r="I12" s="5">
        <f>Table3410111213181415[[#This Row],[  35-39]]-Table3410111213[[#This Row],[  35-39]]</f>
        <v>143</v>
      </c>
      <c r="J12" s="5">
        <f>Table3410111213181415[[#This Row],[  40-44]]-Table3410111213[[#This Row],[  40-44]]</f>
        <v>206</v>
      </c>
      <c r="K12" s="5">
        <f>Table3410111213181415[[#This Row],[  45-49 ]]-Table3410111213[[#This Row],[  45-49 ]]</f>
        <v>171</v>
      </c>
      <c r="L12" s="5">
        <f>Table3410111213181415[[#This Row],[  50-54]]-Table3410111213[[#This Row],[  50-54]]</f>
        <v>185</v>
      </c>
      <c r="M12" s="5">
        <f>Table3410111213181415[[#This Row],[  55-59]]-Table3410111213[[#This Row],[  55-59]]</f>
        <v>95</v>
      </c>
      <c r="N12" s="5">
        <f>Table3410111213181415[[#This Row],[  60-64]]-Table3410111213[[#This Row],[  60-64]]</f>
        <v>-20</v>
      </c>
      <c r="O12" s="5">
        <f>Table3410111213181415[[#This Row],[  65-69]]-Table3410111213[[#This Row],[  65-69]]</f>
        <v>27</v>
      </c>
      <c r="P12" s="5">
        <f>Table3410111213181415[[#This Row],[  70-74]]-Table3410111213[[#This Row],[  70-74]]</f>
        <v>3</v>
      </c>
      <c r="Q12" s="5">
        <f>Table3410111213181415[[#This Row],[  75-79]]-Table3410111213[[#This Row],[  75-79]]</f>
        <v>20</v>
      </c>
      <c r="R12" s="5">
        <f>Table3410111213181415[[#This Row],[  80-84]]-Table3410111213[[#This Row],[  80-84]]</f>
        <v>-11</v>
      </c>
      <c r="S12" s="5">
        <f>Table3410111213181415[[#This Row],[  85-89]]-Table3410111213[[#This Row],[  85-89]]</f>
        <v>2</v>
      </c>
      <c r="T12" s="5">
        <f>Table3410111213181415[[#This Row],[  90+]]-Table3410111213[[#This Row],[  90+]]</f>
        <v>10</v>
      </c>
    </row>
    <row r="13" spans="1:20" x14ac:dyDescent="0.2">
      <c r="A13" s="9" t="s">
        <v>4</v>
      </c>
      <c r="B13" s="6" t="s">
        <v>23</v>
      </c>
      <c r="C13" s="5">
        <f>Table3410111213181415[[#This Row],[Total]]-Table3410111213[[#This Row],[Total]]</f>
        <v>4368</v>
      </c>
      <c r="D13" s="38">
        <f>Table3410111213181415[[#This Row],[  5-11]]-Table3410111213[[#This Row],[  5-11]]</f>
        <v>2158.7455219271155</v>
      </c>
      <c r="E13" s="38">
        <f>Table3410111213181415[[#This Row],[  12-17]]-Table3410111213[[#This Row],[  12-17]]</f>
        <v>849.03335392217377</v>
      </c>
      <c r="F13" s="38">
        <f>Table3410111213181415[[#This Row],[  18-24]]-Table3410111213[[#This Row],[  18-24]]</f>
        <v>-187.77887584928976</v>
      </c>
      <c r="G13" s="38">
        <f>Table3410111213181415[[#This Row],[  25-29 ]]-Table3410111213[[#This Row],[  25-29 ]]</f>
        <v>361</v>
      </c>
      <c r="H13" s="5">
        <f>Table3410111213181415[[#This Row],[  30-34]]-Table3410111213[[#This Row],[  30-34]]</f>
        <v>331</v>
      </c>
      <c r="I13" s="5">
        <f>Table3410111213181415[[#This Row],[  35-39]]-Table3410111213[[#This Row],[  35-39]]</f>
        <v>228</v>
      </c>
      <c r="J13" s="5">
        <f>Table3410111213181415[[#This Row],[  40-44]]-Table3410111213[[#This Row],[  40-44]]</f>
        <v>245</v>
      </c>
      <c r="K13" s="5">
        <f>Table3410111213181415[[#This Row],[  45-49 ]]-Table3410111213[[#This Row],[  45-49 ]]</f>
        <v>134</v>
      </c>
      <c r="L13" s="5">
        <f>Table3410111213181415[[#This Row],[  50-54]]-Table3410111213[[#This Row],[  50-54]]</f>
        <v>84</v>
      </c>
      <c r="M13" s="5">
        <f>Table3410111213181415[[#This Row],[  55-59]]-Table3410111213[[#This Row],[  55-59]]</f>
        <v>144</v>
      </c>
      <c r="N13" s="5">
        <f>Table3410111213181415[[#This Row],[  60-64]]-Table3410111213[[#This Row],[  60-64]]</f>
        <v>39</v>
      </c>
      <c r="O13" s="5">
        <f>Table3410111213181415[[#This Row],[  65-69]]-Table3410111213[[#This Row],[  65-69]]</f>
        <v>-9</v>
      </c>
      <c r="P13" s="5">
        <f>Table3410111213181415[[#This Row],[  70-74]]-Table3410111213[[#This Row],[  70-74]]</f>
        <v>1</v>
      </c>
      <c r="Q13" s="5">
        <f>Table3410111213181415[[#This Row],[  75-79]]-Table3410111213[[#This Row],[  75-79]]</f>
        <v>1</v>
      </c>
      <c r="R13" s="5">
        <f>Table3410111213181415[[#This Row],[  80-84]]-Table3410111213[[#This Row],[  80-84]]</f>
        <v>-22</v>
      </c>
      <c r="S13" s="5">
        <f>Table3410111213181415[[#This Row],[  85-89]]-Table3410111213[[#This Row],[  85-89]]</f>
        <v>10</v>
      </c>
      <c r="T13" s="5">
        <f>Table3410111213181415[[#This Row],[  90+]]-Table3410111213[[#This Row],[  90+]]</f>
        <v>1</v>
      </c>
    </row>
    <row r="14" spans="1:20" x14ac:dyDescent="0.2">
      <c r="A14" s="9" t="s">
        <v>5</v>
      </c>
      <c r="B14" s="6" t="s">
        <v>22</v>
      </c>
      <c r="C14" s="5">
        <f>Table3410111213181415[[#This Row],[Total]]-Table3410111213[[#This Row],[Total]]</f>
        <v>31820</v>
      </c>
      <c r="D14" s="38">
        <f>Table3410111213181415[[#This Row],[  5-11]]-Table3410111213[[#This Row],[  5-11]]</f>
        <v>12833.052615790737</v>
      </c>
      <c r="E14" s="38">
        <f>Table3410111213181415[[#This Row],[  12-17]]-Table3410111213[[#This Row],[  12-17]]</f>
        <v>4595.1519078473721</v>
      </c>
      <c r="F14" s="38">
        <f>Table3410111213181415[[#This Row],[  18-24]]-Table3410111213[[#This Row],[  18-24]]</f>
        <v>3337.7954763618927</v>
      </c>
      <c r="G14" s="38">
        <f>Table3410111213181415[[#This Row],[  25-29 ]]-Table3410111213[[#This Row],[  25-29 ]]</f>
        <v>2311</v>
      </c>
      <c r="H14" s="5">
        <f>Table3410111213181415[[#This Row],[  30-34]]-Table3410111213[[#This Row],[  30-34]]</f>
        <v>1684</v>
      </c>
      <c r="I14" s="5">
        <f>Table3410111213181415[[#This Row],[  35-39]]-Table3410111213[[#This Row],[  35-39]]</f>
        <v>1228</v>
      </c>
      <c r="J14" s="5">
        <f>Table3410111213181415[[#This Row],[  40-44]]-Table3410111213[[#This Row],[  40-44]]</f>
        <v>1214</v>
      </c>
      <c r="K14" s="5">
        <f>Table3410111213181415[[#This Row],[  45-49 ]]-Table3410111213[[#This Row],[  45-49 ]]</f>
        <v>1315</v>
      </c>
      <c r="L14" s="5">
        <f>Table3410111213181415[[#This Row],[  50-54]]-Table3410111213[[#This Row],[  50-54]]</f>
        <v>1042</v>
      </c>
      <c r="M14" s="5">
        <f>Table3410111213181415[[#This Row],[  55-59]]-Table3410111213[[#This Row],[  55-59]]</f>
        <v>955</v>
      </c>
      <c r="N14" s="5">
        <f>Table3410111213181415[[#This Row],[  60-64]]-Table3410111213[[#This Row],[  60-64]]</f>
        <v>411</v>
      </c>
      <c r="O14" s="5">
        <f>Table3410111213181415[[#This Row],[  65-69]]-Table3410111213[[#This Row],[  65-69]]</f>
        <v>356</v>
      </c>
      <c r="P14" s="5">
        <f>Table3410111213181415[[#This Row],[  70-74]]-Table3410111213[[#This Row],[  70-74]]</f>
        <v>189</v>
      </c>
      <c r="Q14" s="5">
        <f>Table3410111213181415[[#This Row],[  75-79]]-Table3410111213[[#This Row],[  75-79]]</f>
        <v>147</v>
      </c>
      <c r="R14" s="5">
        <f>Table3410111213181415[[#This Row],[  80-84]]-Table3410111213[[#This Row],[  80-84]]</f>
        <v>140</v>
      </c>
      <c r="S14" s="5">
        <f>Table3410111213181415[[#This Row],[  85-89]]-Table3410111213[[#This Row],[  85-89]]</f>
        <v>21</v>
      </c>
      <c r="T14" s="5">
        <f>Table3410111213181415[[#This Row],[  90+]]-Table3410111213[[#This Row],[  90+]]</f>
        <v>41</v>
      </c>
    </row>
    <row r="15" spans="1:20" x14ac:dyDescent="0.2">
      <c r="A15" s="9" t="s">
        <v>5</v>
      </c>
      <c r="B15" s="6" t="s">
        <v>0</v>
      </c>
      <c r="C15" s="5">
        <f>Table3410111213181415[[#This Row],[Total]]-Table3410111213[[#This Row],[Total]]</f>
        <v>16673</v>
      </c>
      <c r="D15" s="38">
        <f>Table3410111213181415[[#This Row],[  5-11]]-Table3410111213[[#This Row],[  5-11]]</f>
        <v>6664.2536886918997</v>
      </c>
      <c r="E15" s="38">
        <f>Table3410111213181415[[#This Row],[  12-17]]-Table3410111213[[#This Row],[  12-17]]</f>
        <v>2442.0439143873564</v>
      </c>
      <c r="F15" s="38">
        <f>Table3410111213181415[[#This Row],[  18-24]]-Table3410111213[[#This Row],[  18-24]]</f>
        <v>1880.7023969207448</v>
      </c>
      <c r="G15" s="38">
        <f>Table3410111213181415[[#This Row],[  25-29 ]]-Table3410111213[[#This Row],[  25-29 ]]</f>
        <v>1106</v>
      </c>
      <c r="H15" s="5">
        <f>Table3410111213181415[[#This Row],[  30-34]]-Table3410111213[[#This Row],[  30-34]]</f>
        <v>852</v>
      </c>
      <c r="I15" s="5">
        <f>Table3410111213181415[[#This Row],[  35-39]]-Table3410111213[[#This Row],[  35-39]]</f>
        <v>648</v>
      </c>
      <c r="J15" s="5">
        <f>Table3410111213181415[[#This Row],[  40-44]]-Table3410111213[[#This Row],[  40-44]]</f>
        <v>614</v>
      </c>
      <c r="K15" s="5">
        <f>Table3410111213181415[[#This Row],[  45-49 ]]-Table3410111213[[#This Row],[  45-49 ]]</f>
        <v>675</v>
      </c>
      <c r="L15" s="5">
        <f>Table3410111213181415[[#This Row],[  50-54]]-Table3410111213[[#This Row],[  50-54]]</f>
        <v>583</v>
      </c>
      <c r="M15" s="5">
        <f>Table3410111213181415[[#This Row],[  55-59]]-Table3410111213[[#This Row],[  55-59]]</f>
        <v>495</v>
      </c>
      <c r="N15" s="5">
        <f>Table3410111213181415[[#This Row],[  60-64]]-Table3410111213[[#This Row],[  60-64]]</f>
        <v>252</v>
      </c>
      <c r="O15" s="5">
        <f>Table3410111213181415[[#This Row],[  65-69]]-Table3410111213[[#This Row],[  65-69]]</f>
        <v>189</v>
      </c>
      <c r="P15" s="5">
        <f>Table3410111213181415[[#This Row],[  70-74]]-Table3410111213[[#This Row],[  70-74]]</f>
        <v>116</v>
      </c>
      <c r="Q15" s="5">
        <f>Table3410111213181415[[#This Row],[  75-79]]-Table3410111213[[#This Row],[  75-79]]</f>
        <v>59</v>
      </c>
      <c r="R15" s="5">
        <f>Table3410111213181415[[#This Row],[  80-84]]-Table3410111213[[#This Row],[  80-84]]</f>
        <v>68</v>
      </c>
      <c r="S15" s="5">
        <f>Table3410111213181415[[#This Row],[  85-89]]-Table3410111213[[#This Row],[  85-89]]</f>
        <v>6</v>
      </c>
      <c r="T15" s="5">
        <f>Table3410111213181415[[#This Row],[  90+]]-Table3410111213[[#This Row],[  90+]]</f>
        <v>23</v>
      </c>
    </row>
    <row r="16" spans="1:20" x14ac:dyDescent="0.2">
      <c r="A16" s="9" t="s">
        <v>5</v>
      </c>
      <c r="B16" s="6" t="s">
        <v>23</v>
      </c>
      <c r="C16" s="5">
        <f>Table3410111213181415[[#This Row],[Total]]-Table3410111213[[#This Row],[Total]]</f>
        <v>15147</v>
      </c>
      <c r="D16" s="38">
        <f>Table3410111213181415[[#This Row],[  5-11]]-Table3410111213[[#This Row],[  5-11]]</f>
        <v>6169.6096355775162</v>
      </c>
      <c r="E16" s="38">
        <f>Table3410111213181415[[#This Row],[  12-17]]-Table3410111213[[#This Row],[  12-17]]</f>
        <v>2152.7696108709079</v>
      </c>
      <c r="F16" s="38">
        <f>Table3410111213181415[[#This Row],[  18-24]]-Table3410111213[[#This Row],[  18-24]]</f>
        <v>1456.620753551575</v>
      </c>
      <c r="G16" s="38">
        <f>Table3410111213181415[[#This Row],[  25-29 ]]-Table3410111213[[#This Row],[  25-29 ]]</f>
        <v>1205</v>
      </c>
      <c r="H16" s="5">
        <f>Table3410111213181415[[#This Row],[  30-34]]-Table3410111213[[#This Row],[  30-34]]</f>
        <v>832</v>
      </c>
      <c r="I16" s="5">
        <f>Table3410111213181415[[#This Row],[  35-39]]-Table3410111213[[#This Row],[  35-39]]</f>
        <v>580</v>
      </c>
      <c r="J16" s="5">
        <f>Table3410111213181415[[#This Row],[  40-44]]-Table3410111213[[#This Row],[  40-44]]</f>
        <v>600</v>
      </c>
      <c r="K16" s="5">
        <f>Table3410111213181415[[#This Row],[  45-49 ]]-Table3410111213[[#This Row],[  45-49 ]]</f>
        <v>640</v>
      </c>
      <c r="L16" s="5">
        <f>Table3410111213181415[[#This Row],[  50-54]]-Table3410111213[[#This Row],[  50-54]]</f>
        <v>459</v>
      </c>
      <c r="M16" s="5">
        <f>Table3410111213181415[[#This Row],[  55-59]]-Table3410111213[[#This Row],[  55-59]]</f>
        <v>460</v>
      </c>
      <c r="N16" s="5">
        <f>Table3410111213181415[[#This Row],[  60-64]]-Table3410111213[[#This Row],[  60-64]]</f>
        <v>159</v>
      </c>
      <c r="O16" s="5">
        <f>Table3410111213181415[[#This Row],[  65-69]]-Table3410111213[[#This Row],[  65-69]]</f>
        <v>167</v>
      </c>
      <c r="P16" s="5">
        <f>Table3410111213181415[[#This Row],[  70-74]]-Table3410111213[[#This Row],[  70-74]]</f>
        <v>73</v>
      </c>
      <c r="Q16" s="5">
        <f>Table3410111213181415[[#This Row],[  75-79]]-Table3410111213[[#This Row],[  75-79]]</f>
        <v>88</v>
      </c>
      <c r="R16" s="5">
        <f>Table3410111213181415[[#This Row],[  80-84]]-Table3410111213[[#This Row],[  80-84]]</f>
        <v>72</v>
      </c>
      <c r="S16" s="5">
        <f>Table3410111213181415[[#This Row],[  85-89]]-Table3410111213[[#This Row],[  85-89]]</f>
        <v>15</v>
      </c>
      <c r="T16" s="5">
        <f>Table3410111213181415[[#This Row],[  90+]]-Table3410111213[[#This Row],[  90+]]</f>
        <v>18</v>
      </c>
    </row>
    <row r="17" spans="1:20" x14ac:dyDescent="0.2">
      <c r="A17" s="12" t="s">
        <v>6</v>
      </c>
      <c r="B17" s="6" t="s">
        <v>22</v>
      </c>
      <c r="C17" s="5">
        <f>Table3410111213181415[[#This Row],[Total]]-Table3410111213[[#This Row],[Total]]</f>
        <v>15167</v>
      </c>
      <c r="D17" s="38">
        <f>Table3410111213181415[[#This Row],[  5-11]]-Table3410111213[[#This Row],[  5-11]]</f>
        <v>6414.0510559155264</v>
      </c>
      <c r="E17" s="38">
        <f>Table3410111213181415[[#This Row],[  12-17]]-Table3410111213[[#This Row],[  12-17]]</f>
        <v>2022.9604031677463</v>
      </c>
      <c r="F17" s="38">
        <f>Table3410111213181415[[#This Row],[  18-24]]-Table3410111213[[#This Row],[  18-24]]</f>
        <v>1785.9885409167273</v>
      </c>
      <c r="G17" s="38">
        <f>Table3410111213181415[[#This Row],[  25-29 ]]-Table3410111213[[#This Row],[  25-29 ]]</f>
        <v>995</v>
      </c>
      <c r="H17" s="5">
        <f>Table3410111213181415[[#This Row],[  30-34]]-Table3410111213[[#This Row],[  30-34]]</f>
        <v>733</v>
      </c>
      <c r="I17" s="5">
        <f>Table3410111213181415[[#This Row],[  35-39]]-Table3410111213[[#This Row],[  35-39]]</f>
        <v>488</v>
      </c>
      <c r="J17" s="5">
        <f>Table3410111213181415[[#This Row],[  40-44]]-Table3410111213[[#This Row],[  40-44]]</f>
        <v>696</v>
      </c>
      <c r="K17" s="5">
        <f>Table3410111213181415[[#This Row],[  45-49 ]]-Table3410111213[[#This Row],[  45-49 ]]</f>
        <v>664</v>
      </c>
      <c r="L17" s="5">
        <f>Table3410111213181415[[#This Row],[  50-54]]-Table3410111213[[#This Row],[  50-54]]</f>
        <v>395</v>
      </c>
      <c r="M17" s="5">
        <f>Table3410111213181415[[#This Row],[  55-59]]-Table3410111213[[#This Row],[  55-59]]</f>
        <v>510</v>
      </c>
      <c r="N17" s="5">
        <f>Table3410111213181415[[#This Row],[  60-64]]-Table3410111213[[#This Row],[  60-64]]</f>
        <v>247</v>
      </c>
      <c r="O17" s="5">
        <f>Table3410111213181415[[#This Row],[  65-69]]-Table3410111213[[#This Row],[  65-69]]</f>
        <v>158</v>
      </c>
      <c r="P17" s="5">
        <f>Table3410111213181415[[#This Row],[  70-74]]-Table3410111213[[#This Row],[  70-74]]</f>
        <v>-4</v>
      </c>
      <c r="Q17" s="5">
        <f>Table3410111213181415[[#This Row],[  75-79]]-Table3410111213[[#This Row],[  75-79]]</f>
        <v>34</v>
      </c>
      <c r="R17" s="5">
        <f>Table3410111213181415[[#This Row],[  80-84]]-Table3410111213[[#This Row],[  80-84]]</f>
        <v>17</v>
      </c>
      <c r="S17" s="5">
        <f>Table3410111213181415[[#This Row],[  85-89]]-Table3410111213[[#This Row],[  85-89]]</f>
        <v>34</v>
      </c>
      <c r="T17" s="5">
        <f>Table3410111213181415[[#This Row],[  90+]]-Table3410111213[[#This Row],[  90+]]</f>
        <v>-23</v>
      </c>
    </row>
    <row r="18" spans="1:20" x14ac:dyDescent="0.2">
      <c r="A18" s="9" t="s">
        <v>6</v>
      </c>
      <c r="B18" s="6" t="s">
        <v>0</v>
      </c>
      <c r="C18" s="5">
        <f>Table3410111213181415[[#This Row],[Total]]-Table3410111213[[#This Row],[Total]]</f>
        <v>7863</v>
      </c>
      <c r="D18" s="38">
        <f>Table3410111213181415[[#This Row],[  5-11]]-Table3410111213[[#This Row],[  5-11]]</f>
        <v>3226.7314399020238</v>
      </c>
      <c r="E18" s="38">
        <f>Table3410111213181415[[#This Row],[  12-17]]-Table3410111213[[#This Row],[  12-17]]</f>
        <v>1096.3086837347641</v>
      </c>
      <c r="F18" s="38">
        <f>Table3410111213181415[[#This Row],[  18-24]]-Table3410111213[[#This Row],[  18-24]]</f>
        <v>855.95987636321252</v>
      </c>
      <c r="G18" s="38">
        <f>Table3410111213181415[[#This Row],[  25-29 ]]-Table3410111213[[#This Row],[  25-29 ]]</f>
        <v>544</v>
      </c>
      <c r="H18" s="5">
        <f>Table3410111213181415[[#This Row],[  30-34]]-Table3410111213[[#This Row],[  30-34]]</f>
        <v>361</v>
      </c>
      <c r="I18" s="5">
        <f>Table3410111213181415[[#This Row],[  35-39]]-Table3410111213[[#This Row],[  35-39]]</f>
        <v>307</v>
      </c>
      <c r="J18" s="5">
        <f>Table3410111213181415[[#This Row],[  40-44]]-Table3410111213[[#This Row],[  40-44]]</f>
        <v>313</v>
      </c>
      <c r="K18" s="5">
        <f>Table3410111213181415[[#This Row],[  45-49 ]]-Table3410111213[[#This Row],[  45-49 ]]</f>
        <v>330</v>
      </c>
      <c r="L18" s="5">
        <f>Table3410111213181415[[#This Row],[  50-54]]-Table3410111213[[#This Row],[  50-54]]</f>
        <v>239</v>
      </c>
      <c r="M18" s="5">
        <f>Table3410111213181415[[#This Row],[  55-59]]-Table3410111213[[#This Row],[  55-59]]</f>
        <v>302</v>
      </c>
      <c r="N18" s="5">
        <f>Table3410111213181415[[#This Row],[  60-64]]-Table3410111213[[#This Row],[  60-64]]</f>
        <v>153</v>
      </c>
      <c r="O18" s="5">
        <f>Table3410111213181415[[#This Row],[  65-69]]-Table3410111213[[#This Row],[  65-69]]</f>
        <v>84</v>
      </c>
      <c r="P18" s="5">
        <f>Table3410111213181415[[#This Row],[  70-74]]-Table3410111213[[#This Row],[  70-74]]</f>
        <v>16</v>
      </c>
      <c r="Q18" s="5">
        <f>Table3410111213181415[[#This Row],[  75-79]]-Table3410111213[[#This Row],[  75-79]]</f>
        <v>24</v>
      </c>
      <c r="R18" s="5">
        <f>Table3410111213181415[[#This Row],[  80-84]]-Table3410111213[[#This Row],[  80-84]]</f>
        <v>7</v>
      </c>
      <c r="S18" s="5">
        <f>Table3410111213181415[[#This Row],[  85-89]]-Table3410111213[[#This Row],[  85-89]]</f>
        <v>13</v>
      </c>
      <c r="T18" s="5">
        <f>Table3410111213181415[[#This Row],[  90+]]-Table3410111213[[#This Row],[  90+]]</f>
        <v>-9</v>
      </c>
    </row>
    <row r="19" spans="1:20" x14ac:dyDescent="0.2">
      <c r="A19" s="9" t="s">
        <v>6</v>
      </c>
      <c r="B19" s="6" t="s">
        <v>23</v>
      </c>
      <c r="C19" s="5">
        <f>Table3410111213181415[[#This Row],[Total]]-Table3410111213[[#This Row],[Total]]</f>
        <v>7304</v>
      </c>
      <c r="D19" s="38">
        <f>Table3410111213181415[[#This Row],[  5-11]]-Table3410111213[[#This Row],[  5-11]]</f>
        <v>3187.3965410747373</v>
      </c>
      <c r="E19" s="38">
        <f>Table3410111213181415[[#This Row],[  12-17]]-Table3410111213[[#This Row],[  12-17]]</f>
        <v>926.28783199505824</v>
      </c>
      <c r="F19" s="38">
        <f>Table3410111213181415[[#This Row],[  18-24]]-Table3410111213[[#This Row],[  18-24]]</f>
        <v>930.31562693020351</v>
      </c>
      <c r="G19" s="38">
        <f>Table3410111213181415[[#This Row],[  25-29 ]]-Table3410111213[[#This Row],[  25-29 ]]</f>
        <v>451</v>
      </c>
      <c r="H19" s="5">
        <f>Table3410111213181415[[#This Row],[  30-34]]-Table3410111213[[#This Row],[  30-34]]</f>
        <v>372</v>
      </c>
      <c r="I19" s="5">
        <f>Table3410111213181415[[#This Row],[  35-39]]-Table3410111213[[#This Row],[  35-39]]</f>
        <v>181</v>
      </c>
      <c r="J19" s="5">
        <f>Table3410111213181415[[#This Row],[  40-44]]-Table3410111213[[#This Row],[  40-44]]</f>
        <v>383</v>
      </c>
      <c r="K19" s="5">
        <f>Table3410111213181415[[#This Row],[  45-49 ]]-Table3410111213[[#This Row],[  45-49 ]]</f>
        <v>334</v>
      </c>
      <c r="L19" s="5">
        <f>Table3410111213181415[[#This Row],[  50-54]]-Table3410111213[[#This Row],[  50-54]]</f>
        <v>156</v>
      </c>
      <c r="M19" s="5">
        <f>Table3410111213181415[[#This Row],[  55-59]]-Table3410111213[[#This Row],[  55-59]]</f>
        <v>208</v>
      </c>
      <c r="N19" s="5">
        <f>Table3410111213181415[[#This Row],[  60-64]]-Table3410111213[[#This Row],[  60-64]]</f>
        <v>94</v>
      </c>
      <c r="O19" s="5">
        <f>Table3410111213181415[[#This Row],[  65-69]]-Table3410111213[[#This Row],[  65-69]]</f>
        <v>74</v>
      </c>
      <c r="P19" s="5">
        <f>Table3410111213181415[[#This Row],[  70-74]]-Table3410111213[[#This Row],[  70-74]]</f>
        <v>-20</v>
      </c>
      <c r="Q19" s="5">
        <f>Table3410111213181415[[#This Row],[  75-79]]-Table3410111213[[#This Row],[  75-79]]</f>
        <v>10</v>
      </c>
      <c r="R19" s="5">
        <f>Table3410111213181415[[#This Row],[  80-84]]-Table3410111213[[#This Row],[  80-84]]</f>
        <v>10</v>
      </c>
      <c r="S19" s="5">
        <f>Table3410111213181415[[#This Row],[  85-89]]-Table3410111213[[#This Row],[  85-89]]</f>
        <v>21</v>
      </c>
      <c r="T19" s="5">
        <f>Table3410111213181415[[#This Row],[  90+]]-Table3410111213[[#This Row],[  90+]]</f>
        <v>-14</v>
      </c>
    </row>
    <row r="20" spans="1:20" x14ac:dyDescent="0.2">
      <c r="A20" s="9" t="s">
        <v>7</v>
      </c>
      <c r="B20" s="6" t="s">
        <v>22</v>
      </c>
      <c r="C20" s="5">
        <f>Table3410111213181415[[#This Row],[Total]]-Table3410111213[[#This Row],[Total]]</f>
        <v>7958</v>
      </c>
      <c r="D20" s="38">
        <f>Table3410111213181415[[#This Row],[  5-11]]-Table3410111213[[#This Row],[  5-11]]</f>
        <v>3276.9493040556754</v>
      </c>
      <c r="E20" s="38">
        <f>Table3410111213181415[[#This Row],[  12-17]]-Table3410111213[[#This Row],[  12-17]]</f>
        <v>1217.7760979121667</v>
      </c>
      <c r="F20" s="38">
        <f>Table3410111213181415[[#This Row],[  18-24]]-Table3410111213[[#This Row],[  18-24]]</f>
        <v>713.27459803215788</v>
      </c>
      <c r="G20" s="38">
        <f>Table3410111213181415[[#This Row],[  25-29 ]]-Table3410111213[[#This Row],[  25-29 ]]</f>
        <v>485</v>
      </c>
      <c r="H20" s="5">
        <f>Table3410111213181415[[#This Row],[  30-34]]-Table3410111213[[#This Row],[  30-34]]</f>
        <v>572</v>
      </c>
      <c r="I20" s="5">
        <f>Table3410111213181415[[#This Row],[  35-39]]-Table3410111213[[#This Row],[  35-39]]</f>
        <v>360</v>
      </c>
      <c r="J20" s="5">
        <f>Table3410111213181415[[#This Row],[  40-44]]-Table3410111213[[#This Row],[  40-44]]</f>
        <v>403</v>
      </c>
      <c r="K20" s="5">
        <f>Table3410111213181415[[#This Row],[  45-49 ]]-Table3410111213[[#This Row],[  45-49 ]]</f>
        <v>332</v>
      </c>
      <c r="L20" s="5">
        <f>Table3410111213181415[[#This Row],[  50-54]]-Table3410111213[[#This Row],[  50-54]]</f>
        <v>221</v>
      </c>
      <c r="M20" s="5">
        <f>Table3410111213181415[[#This Row],[  55-59]]-Table3410111213[[#This Row],[  55-59]]</f>
        <v>205</v>
      </c>
      <c r="N20" s="5">
        <f>Table3410111213181415[[#This Row],[  60-64]]-Table3410111213[[#This Row],[  60-64]]</f>
        <v>170</v>
      </c>
      <c r="O20" s="5">
        <f>Table3410111213181415[[#This Row],[  65-69]]-Table3410111213[[#This Row],[  65-69]]</f>
        <v>-10</v>
      </c>
      <c r="P20" s="5">
        <f>Table3410111213181415[[#This Row],[  70-74]]-Table3410111213[[#This Row],[  70-74]]</f>
        <v>4</v>
      </c>
      <c r="Q20" s="5">
        <f>Table3410111213181415[[#This Row],[  75-79]]-Table3410111213[[#This Row],[  75-79]]</f>
        <v>-4</v>
      </c>
      <c r="R20" s="5">
        <f>Table3410111213181415[[#This Row],[  80-84]]-Table3410111213[[#This Row],[  80-84]]</f>
        <v>-21</v>
      </c>
      <c r="S20" s="5">
        <f>Table3410111213181415[[#This Row],[  85-89]]-Table3410111213[[#This Row],[  85-89]]</f>
        <v>16</v>
      </c>
      <c r="T20" s="5">
        <f>Table3410111213181415[[#This Row],[  90+]]-Table3410111213[[#This Row],[  90+]]</f>
        <v>17</v>
      </c>
    </row>
    <row r="21" spans="1:20" x14ac:dyDescent="0.2">
      <c r="A21" s="9" t="s">
        <v>7</v>
      </c>
      <c r="B21" s="6" t="s">
        <v>0</v>
      </c>
      <c r="C21" s="5">
        <f>Table3410111213181415[[#This Row],[Total]]-Table3410111213[[#This Row],[Total]]</f>
        <v>4266</v>
      </c>
      <c r="D21" s="38">
        <f>Table3410111213181415[[#This Row],[  5-11]]-Table3410111213[[#This Row],[  5-11]]</f>
        <v>1698.5410275850004</v>
      </c>
      <c r="E21" s="38">
        <f>Table3410111213181415[[#This Row],[  12-17]]-Table3410111213[[#This Row],[  12-17]]</f>
        <v>610.68606753367953</v>
      </c>
      <c r="F21" s="38">
        <f>Table3410111213181415[[#This Row],[  18-24]]-Table3410111213[[#This Row],[  18-24]]</f>
        <v>368.77290488132053</v>
      </c>
      <c r="G21" s="5">
        <f>Table3410111213181415[[#This Row],[  25-29 ]]-Table3410111213[[#This Row],[  25-29 ]]</f>
        <v>299</v>
      </c>
      <c r="H21" s="5">
        <f>Table3410111213181415[[#This Row],[  30-34]]-Table3410111213[[#This Row],[  30-34]]</f>
        <v>310</v>
      </c>
      <c r="I21" s="5">
        <f>Table3410111213181415[[#This Row],[  35-39]]-Table3410111213[[#This Row],[  35-39]]</f>
        <v>156</v>
      </c>
      <c r="J21" s="5">
        <f>Table3410111213181415[[#This Row],[  40-44]]-Table3410111213[[#This Row],[  40-44]]</f>
        <v>235</v>
      </c>
      <c r="K21" s="5">
        <f>Table3410111213181415[[#This Row],[  45-49 ]]-Table3410111213[[#This Row],[  45-49 ]]</f>
        <v>215</v>
      </c>
      <c r="L21" s="5">
        <f>Table3410111213181415[[#This Row],[  50-54]]-Table3410111213[[#This Row],[  50-54]]</f>
        <v>146</v>
      </c>
      <c r="M21" s="5">
        <f>Table3410111213181415[[#This Row],[  55-59]]-Table3410111213[[#This Row],[  55-59]]</f>
        <v>103</v>
      </c>
      <c r="N21" s="5">
        <f>Table3410111213181415[[#This Row],[  60-64]]-Table3410111213[[#This Row],[  60-64]]</f>
        <v>91</v>
      </c>
      <c r="O21" s="5">
        <f>Table3410111213181415[[#This Row],[  65-69]]-Table3410111213[[#This Row],[  65-69]]</f>
        <v>13</v>
      </c>
      <c r="P21" s="5">
        <f>Table3410111213181415[[#This Row],[  70-74]]-Table3410111213[[#This Row],[  70-74]]</f>
        <v>10</v>
      </c>
      <c r="Q21" s="5">
        <f>Table3410111213181415[[#This Row],[  75-79]]-Table3410111213[[#This Row],[  75-79]]</f>
        <v>2</v>
      </c>
      <c r="R21" s="5">
        <f>Table3410111213181415[[#This Row],[  80-84]]-Table3410111213[[#This Row],[  80-84]]</f>
        <v>-13</v>
      </c>
      <c r="S21" s="5">
        <f>Table3410111213181415[[#This Row],[  85-89]]-Table3410111213[[#This Row],[  85-89]]</f>
        <v>11</v>
      </c>
      <c r="T21" s="5">
        <f>Table3410111213181415[[#This Row],[  90+]]-Table3410111213[[#This Row],[  90+]]</f>
        <v>10</v>
      </c>
    </row>
    <row r="22" spans="1:20" x14ac:dyDescent="0.2">
      <c r="A22" s="9" t="s">
        <v>7</v>
      </c>
      <c r="B22" s="6" t="s">
        <v>23</v>
      </c>
      <c r="C22" s="5">
        <f>Table3410111213181415[[#This Row],[Total]]-Table3410111213[[#This Row],[Total]]</f>
        <v>3692</v>
      </c>
      <c r="D22" s="38">
        <f>Table3410111213181415[[#This Row],[  5-11]]-Table3410111213[[#This Row],[  5-11]]</f>
        <v>1578.6343421865347</v>
      </c>
      <c r="E22" s="38">
        <f>Table3410111213181415[[#This Row],[  12-17]]-Table3410111213[[#This Row],[  12-17]]</f>
        <v>606.99938233477451</v>
      </c>
      <c r="F22" s="38">
        <f>Table3410111213181415[[#This Row],[  18-24]]-Table3410111213[[#This Row],[  18-24]]</f>
        <v>344.36627547869057</v>
      </c>
      <c r="G22" s="5">
        <f>Table3410111213181415[[#This Row],[  25-29 ]]-Table3410111213[[#This Row],[  25-29 ]]</f>
        <v>186</v>
      </c>
      <c r="H22" s="5">
        <f>Table3410111213181415[[#This Row],[  30-34]]-Table3410111213[[#This Row],[  30-34]]</f>
        <v>262</v>
      </c>
      <c r="I22" s="5">
        <f>Table3410111213181415[[#This Row],[  35-39]]-Table3410111213[[#This Row],[  35-39]]</f>
        <v>204</v>
      </c>
      <c r="J22" s="5">
        <f>Table3410111213181415[[#This Row],[  40-44]]-Table3410111213[[#This Row],[  40-44]]</f>
        <v>168</v>
      </c>
      <c r="K22" s="5">
        <f>Table3410111213181415[[#This Row],[  45-49 ]]-Table3410111213[[#This Row],[  45-49 ]]</f>
        <v>117</v>
      </c>
      <c r="L22" s="5">
        <f>Table3410111213181415[[#This Row],[  50-54]]-Table3410111213[[#This Row],[  50-54]]</f>
        <v>75</v>
      </c>
      <c r="M22" s="5">
        <f>Table3410111213181415[[#This Row],[  55-59]]-Table3410111213[[#This Row],[  55-59]]</f>
        <v>102</v>
      </c>
      <c r="N22" s="5">
        <f>Table3410111213181415[[#This Row],[  60-64]]-Table3410111213[[#This Row],[  60-64]]</f>
        <v>79</v>
      </c>
      <c r="O22" s="5">
        <f>Table3410111213181415[[#This Row],[  65-69]]-Table3410111213[[#This Row],[  65-69]]</f>
        <v>-23</v>
      </c>
      <c r="P22" s="5">
        <f>Table3410111213181415[[#This Row],[  70-74]]-Table3410111213[[#This Row],[  70-74]]</f>
        <v>-6</v>
      </c>
      <c r="Q22" s="5">
        <f>Table3410111213181415[[#This Row],[  75-79]]-Table3410111213[[#This Row],[  75-79]]</f>
        <v>-6</v>
      </c>
      <c r="R22" s="5">
        <f>Table3410111213181415[[#This Row],[  80-84]]-Table3410111213[[#This Row],[  80-84]]</f>
        <v>-8</v>
      </c>
      <c r="S22" s="5">
        <f>Table3410111213181415[[#This Row],[  85-89]]-Table3410111213[[#This Row],[  85-89]]</f>
        <v>5</v>
      </c>
      <c r="T22" s="5">
        <f>Table3410111213181415[[#This Row],[  90+]]-Table3410111213[[#This Row],[  90+]]</f>
        <v>7</v>
      </c>
    </row>
    <row r="23" spans="1:20" x14ac:dyDescent="0.2">
      <c r="A23" s="9" t="s">
        <v>8</v>
      </c>
      <c r="B23" s="6" t="s">
        <v>22</v>
      </c>
      <c r="C23" s="5">
        <f>Table3410111213181415[[#This Row],[Total]]-Table3410111213[[#This Row],[Total]]</f>
        <v>14007</v>
      </c>
      <c r="D23" s="38">
        <f>Table3410111213181415[[#This Row],[  5-11]]-Table3410111213[[#This Row],[  5-11]]</f>
        <v>5520.2391408687308</v>
      </c>
      <c r="E23" s="38">
        <f>Table3410111213181415[[#This Row],[  12-17]]-Table3410111213[[#This Row],[  12-17]]</f>
        <v>1796.2822174226058</v>
      </c>
      <c r="F23" s="38">
        <f>Table3410111213181415[[#This Row],[  18-24]]-Table3410111213[[#This Row],[  18-24]]</f>
        <v>1662.4786417086634</v>
      </c>
      <c r="G23" s="5">
        <f>Table3410111213181415[[#This Row],[  25-29 ]]-Table3410111213[[#This Row],[  25-29 ]]</f>
        <v>820</v>
      </c>
      <c r="H23" s="5">
        <f>Table3410111213181415[[#This Row],[  30-34]]-Table3410111213[[#This Row],[  30-34]]</f>
        <v>808</v>
      </c>
      <c r="I23" s="5">
        <f>Table3410111213181415[[#This Row],[  35-39]]-Table3410111213[[#This Row],[  35-39]]</f>
        <v>637</v>
      </c>
      <c r="J23" s="5">
        <f>Table3410111213181415[[#This Row],[  40-44]]-Table3410111213[[#This Row],[  40-44]]</f>
        <v>691</v>
      </c>
      <c r="K23" s="5">
        <f>Table3410111213181415[[#This Row],[  45-49 ]]-Table3410111213[[#This Row],[  45-49 ]]</f>
        <v>682</v>
      </c>
      <c r="L23" s="5">
        <f>Table3410111213181415[[#This Row],[  50-54]]-Table3410111213[[#This Row],[  50-54]]</f>
        <v>534</v>
      </c>
      <c r="M23" s="5">
        <f>Table3410111213181415[[#This Row],[  55-59]]-Table3410111213[[#This Row],[  55-59]]</f>
        <v>492</v>
      </c>
      <c r="N23" s="5">
        <f>Table3410111213181415[[#This Row],[  60-64]]-Table3410111213[[#This Row],[  60-64]]</f>
        <v>188</v>
      </c>
      <c r="O23" s="5">
        <f>Table3410111213181415[[#This Row],[  65-69]]-Table3410111213[[#This Row],[  65-69]]</f>
        <v>44</v>
      </c>
      <c r="P23" s="5">
        <f>Table3410111213181415[[#This Row],[  70-74]]-Table3410111213[[#This Row],[  70-74]]</f>
        <v>53</v>
      </c>
      <c r="Q23" s="5">
        <f>Table3410111213181415[[#This Row],[  75-79]]-Table3410111213[[#This Row],[  75-79]]</f>
        <v>52</v>
      </c>
      <c r="R23" s="5">
        <f>Table3410111213181415[[#This Row],[  80-84]]-Table3410111213[[#This Row],[  80-84]]</f>
        <v>14</v>
      </c>
      <c r="S23" s="5">
        <f>Table3410111213181415[[#This Row],[  85-89]]-Table3410111213[[#This Row],[  85-89]]</f>
        <v>17</v>
      </c>
      <c r="T23" s="5">
        <f>Table3410111213181415[[#This Row],[  90+]]-Table3410111213[[#This Row],[  90+]]</f>
        <v>-4</v>
      </c>
    </row>
    <row r="24" spans="1:20" x14ac:dyDescent="0.2">
      <c r="A24" s="9" t="s">
        <v>8</v>
      </c>
      <c r="B24" s="6" t="s">
        <v>0</v>
      </c>
      <c r="C24" s="5">
        <f>Table3410111213181415[[#This Row],[Total]]-Table3410111213[[#This Row],[Total]]</f>
        <v>7328</v>
      </c>
      <c r="D24" s="38">
        <f>Table3410111213181415[[#This Row],[  5-11]]-Table3410111213[[#This Row],[  5-11]]</f>
        <v>2877.5438852277366</v>
      </c>
      <c r="E24" s="38">
        <f>Table3410111213181415[[#This Row],[  12-17]]-Table3410111213[[#This Row],[  12-17]]</f>
        <v>967.74380358080134</v>
      </c>
      <c r="F24" s="38">
        <f>Table3410111213181415[[#This Row],[  18-24]]-Table3410111213[[#This Row],[  18-24]]</f>
        <v>884.71231119146205</v>
      </c>
      <c r="G24" s="5">
        <f>Table3410111213181415[[#This Row],[  25-29 ]]-Table3410111213[[#This Row],[  25-29 ]]</f>
        <v>480</v>
      </c>
      <c r="H24" s="5">
        <f>Table3410111213181415[[#This Row],[  30-34]]-Table3410111213[[#This Row],[  30-34]]</f>
        <v>365</v>
      </c>
      <c r="I24" s="5">
        <f>Table3410111213181415[[#This Row],[  35-39]]-Table3410111213[[#This Row],[  35-39]]</f>
        <v>307</v>
      </c>
      <c r="J24" s="5">
        <f>Table3410111213181415[[#This Row],[  40-44]]-Table3410111213[[#This Row],[  40-44]]</f>
        <v>333</v>
      </c>
      <c r="K24" s="5">
        <f>Table3410111213181415[[#This Row],[  45-49 ]]-Table3410111213[[#This Row],[  45-49 ]]</f>
        <v>384</v>
      </c>
      <c r="L24" s="5">
        <f>Table3410111213181415[[#This Row],[  50-54]]-Table3410111213[[#This Row],[  50-54]]</f>
        <v>272</v>
      </c>
      <c r="M24" s="5">
        <f>Table3410111213181415[[#This Row],[  55-59]]-Table3410111213[[#This Row],[  55-59]]</f>
        <v>278</v>
      </c>
      <c r="N24" s="5">
        <f>Table3410111213181415[[#This Row],[  60-64]]-Table3410111213[[#This Row],[  60-64]]</f>
        <v>64</v>
      </c>
      <c r="O24" s="5">
        <f>Table3410111213181415[[#This Row],[  65-69]]-Table3410111213[[#This Row],[  65-69]]</f>
        <v>14</v>
      </c>
      <c r="P24" s="5">
        <f>Table3410111213181415[[#This Row],[  70-74]]-Table3410111213[[#This Row],[  70-74]]</f>
        <v>62</v>
      </c>
      <c r="Q24" s="5">
        <f>Table3410111213181415[[#This Row],[  75-79]]-Table3410111213[[#This Row],[  75-79]]</f>
        <v>36</v>
      </c>
      <c r="R24" s="5">
        <f>Table3410111213181415[[#This Row],[  80-84]]-Table3410111213[[#This Row],[  80-84]]</f>
        <v>-3</v>
      </c>
      <c r="S24" s="5">
        <f>Table3410111213181415[[#This Row],[  85-89]]-Table3410111213[[#This Row],[  85-89]]</f>
        <v>14</v>
      </c>
      <c r="T24" s="5">
        <f>Table3410111213181415[[#This Row],[  90+]]-Table3410111213[[#This Row],[  90+]]</f>
        <v>-8</v>
      </c>
    </row>
    <row r="25" spans="1:20" x14ac:dyDescent="0.2">
      <c r="A25" s="9" t="s">
        <v>8</v>
      </c>
      <c r="B25" s="6" t="s">
        <v>23</v>
      </c>
      <c r="C25" s="5">
        <f>Table3410111213181415[[#This Row],[Total]]-Table3410111213[[#This Row],[Total]]</f>
        <v>6679</v>
      </c>
      <c r="D25" s="38">
        <f>Table3410111213181415[[#This Row],[  5-11]]-Table3410111213[[#This Row],[  5-11]]</f>
        <v>2643.0432365657812</v>
      </c>
      <c r="E25" s="38">
        <f>Table3410111213181415[[#This Row],[  12-17]]-Table3410111213[[#This Row],[  12-17]]</f>
        <v>828.4021000617663</v>
      </c>
      <c r="F25" s="38">
        <f>Table3410111213181415[[#This Row],[  18-24]]-Table3410111213[[#This Row],[  18-24]]</f>
        <v>777.55466337245207</v>
      </c>
      <c r="G25" s="5">
        <f>Table3410111213181415[[#This Row],[  25-29 ]]-Table3410111213[[#This Row],[  25-29 ]]</f>
        <v>340</v>
      </c>
      <c r="H25" s="5">
        <f>Table3410111213181415[[#This Row],[  30-34]]-Table3410111213[[#This Row],[  30-34]]</f>
        <v>443</v>
      </c>
      <c r="I25" s="5">
        <f>Table3410111213181415[[#This Row],[  35-39]]-Table3410111213[[#This Row],[  35-39]]</f>
        <v>330</v>
      </c>
      <c r="J25" s="5">
        <f>Table3410111213181415[[#This Row],[  40-44]]-Table3410111213[[#This Row],[  40-44]]</f>
        <v>358</v>
      </c>
      <c r="K25" s="5">
        <f>Table3410111213181415[[#This Row],[  45-49 ]]-Table3410111213[[#This Row],[  45-49 ]]</f>
        <v>298</v>
      </c>
      <c r="L25" s="5">
        <f>Table3410111213181415[[#This Row],[  50-54]]-Table3410111213[[#This Row],[  50-54]]</f>
        <v>262</v>
      </c>
      <c r="M25" s="5">
        <f>Table3410111213181415[[#This Row],[  55-59]]-Table3410111213[[#This Row],[  55-59]]</f>
        <v>214</v>
      </c>
      <c r="N25" s="5">
        <f>Table3410111213181415[[#This Row],[  60-64]]-Table3410111213[[#This Row],[  60-64]]</f>
        <v>124</v>
      </c>
      <c r="O25" s="5">
        <f>Table3410111213181415[[#This Row],[  65-69]]-Table3410111213[[#This Row],[  65-69]]</f>
        <v>30</v>
      </c>
      <c r="P25" s="5">
        <f>Table3410111213181415[[#This Row],[  70-74]]-Table3410111213[[#This Row],[  70-74]]</f>
        <v>-9</v>
      </c>
      <c r="Q25" s="5">
        <f>Table3410111213181415[[#This Row],[  75-79]]-Table3410111213[[#This Row],[  75-79]]</f>
        <v>16</v>
      </c>
      <c r="R25" s="5">
        <f>Table3410111213181415[[#This Row],[  80-84]]-Table3410111213[[#This Row],[  80-84]]</f>
        <v>17</v>
      </c>
      <c r="S25" s="5">
        <f>Table3410111213181415[[#This Row],[  85-89]]-Table3410111213[[#This Row],[  85-89]]</f>
        <v>3</v>
      </c>
      <c r="T25" s="5">
        <f>Table3410111213181415[[#This Row],[  90+]]-Table3410111213[[#This Row],[  90+]]</f>
        <v>4</v>
      </c>
    </row>
    <row r="26" spans="1:20" x14ac:dyDescent="0.2">
      <c r="A26" s="9" t="s">
        <v>9</v>
      </c>
      <c r="B26" s="6" t="s">
        <v>22</v>
      </c>
      <c r="C26" s="5">
        <f>Table3410111213181415[[#This Row],[Total]]-Table3410111213[[#This Row],[Total]]</f>
        <v>13403</v>
      </c>
      <c r="D26" s="38">
        <f>Table3410111213181415[[#This Row],[  5-11]]-Table3410111213[[#This Row],[  5-11]]</f>
        <v>5128.2628989680825</v>
      </c>
      <c r="E26" s="38">
        <f>Table3410111213181415[[#This Row],[  12-17]]-Table3410111213[[#This Row],[  12-17]]</f>
        <v>1986.8912886969038</v>
      </c>
      <c r="F26" s="38">
        <f>Table3410111213181415[[#This Row],[  18-24]]-Table3410111213[[#This Row],[  18-24]]</f>
        <v>1545.8458123350138</v>
      </c>
      <c r="G26" s="5">
        <f>Table3410111213181415[[#This Row],[  25-29 ]]-Table3410111213[[#This Row],[  25-29 ]]</f>
        <v>941</v>
      </c>
      <c r="H26" s="5">
        <f>Table3410111213181415[[#This Row],[  30-34]]-Table3410111213[[#This Row],[  30-34]]</f>
        <v>780</v>
      </c>
      <c r="I26" s="5">
        <f>Table3410111213181415[[#This Row],[  35-39]]-Table3410111213[[#This Row],[  35-39]]</f>
        <v>669</v>
      </c>
      <c r="J26" s="5">
        <f>Table3410111213181415[[#This Row],[  40-44]]-Table3410111213[[#This Row],[  40-44]]</f>
        <v>598</v>
      </c>
      <c r="K26" s="5">
        <f>Table3410111213181415[[#This Row],[  45-49 ]]-Table3410111213[[#This Row],[  45-49 ]]</f>
        <v>569</v>
      </c>
      <c r="L26" s="5">
        <f>Table3410111213181415[[#This Row],[  50-54]]-Table3410111213[[#This Row],[  50-54]]</f>
        <v>404</v>
      </c>
      <c r="M26" s="5">
        <f>Table3410111213181415[[#This Row],[  55-59]]-Table3410111213[[#This Row],[  55-59]]</f>
        <v>413</v>
      </c>
      <c r="N26" s="5">
        <f>Table3410111213181415[[#This Row],[  60-64]]-Table3410111213[[#This Row],[  60-64]]</f>
        <v>59</v>
      </c>
      <c r="O26" s="5">
        <f>Table3410111213181415[[#This Row],[  65-69]]-Table3410111213[[#This Row],[  65-69]]</f>
        <v>124</v>
      </c>
      <c r="P26" s="5">
        <f>Table3410111213181415[[#This Row],[  70-74]]-Table3410111213[[#This Row],[  70-74]]</f>
        <v>90</v>
      </c>
      <c r="Q26" s="5">
        <f>Table3410111213181415[[#This Row],[  75-79]]-Table3410111213[[#This Row],[  75-79]]</f>
        <v>38</v>
      </c>
      <c r="R26" s="5">
        <f>Table3410111213181415[[#This Row],[  80-84]]-Table3410111213[[#This Row],[  80-84]]</f>
        <v>19</v>
      </c>
      <c r="S26" s="5">
        <f>Table3410111213181415[[#This Row],[  85-89]]-Table3410111213[[#This Row],[  85-89]]</f>
        <v>18</v>
      </c>
      <c r="T26" s="5">
        <f>Table3410111213181415[[#This Row],[  90+]]-Table3410111213[[#This Row],[  90+]]</f>
        <v>20</v>
      </c>
    </row>
    <row r="27" spans="1:20" x14ac:dyDescent="0.2">
      <c r="A27" s="9" t="s">
        <v>9</v>
      </c>
      <c r="B27" s="6" t="s">
        <v>0</v>
      </c>
      <c r="C27" s="5">
        <f>Table3410111213181415[[#This Row],[Total]]-Table3410111213[[#This Row],[Total]]</f>
        <v>7198</v>
      </c>
      <c r="D27" s="38">
        <f>Table3410111213181415[[#This Row],[  5-11]]-Table3410111213[[#This Row],[  5-11]]</f>
        <v>2661.119962675687</v>
      </c>
      <c r="E27" s="38">
        <f>Table3410111213181415[[#This Row],[  12-17]]-Table3410111213[[#This Row],[  12-17]]</f>
        <v>1034.6890418148951</v>
      </c>
      <c r="F27" s="38">
        <f>Table3410111213181415[[#This Row],[  18-24]]-Table3410111213[[#This Row],[  18-24]]</f>
        <v>856.19099550941883</v>
      </c>
      <c r="G27" s="5">
        <f>Table3410111213181415[[#This Row],[  25-29 ]]-Table3410111213[[#This Row],[  25-29 ]]</f>
        <v>549</v>
      </c>
      <c r="H27" s="5">
        <f>Table3410111213181415[[#This Row],[  30-34]]-Table3410111213[[#This Row],[  30-34]]</f>
        <v>427</v>
      </c>
      <c r="I27" s="5">
        <f>Table3410111213181415[[#This Row],[  35-39]]-Table3410111213[[#This Row],[  35-39]]</f>
        <v>317</v>
      </c>
      <c r="J27" s="5">
        <f>Table3410111213181415[[#This Row],[  40-44]]-Table3410111213[[#This Row],[  40-44]]</f>
        <v>300</v>
      </c>
      <c r="K27" s="5">
        <f>Table3410111213181415[[#This Row],[  45-49 ]]-Table3410111213[[#This Row],[  45-49 ]]</f>
        <v>293</v>
      </c>
      <c r="L27" s="5">
        <f>Table3410111213181415[[#This Row],[  50-54]]-Table3410111213[[#This Row],[  50-54]]</f>
        <v>259</v>
      </c>
      <c r="M27" s="5">
        <f>Table3410111213181415[[#This Row],[  55-59]]-Table3410111213[[#This Row],[  55-59]]</f>
        <v>214</v>
      </c>
      <c r="N27" s="5">
        <f>Table3410111213181415[[#This Row],[  60-64]]-Table3410111213[[#This Row],[  60-64]]</f>
        <v>116</v>
      </c>
      <c r="O27" s="5">
        <f>Table3410111213181415[[#This Row],[  65-69]]-Table3410111213[[#This Row],[  65-69]]</f>
        <v>69</v>
      </c>
      <c r="P27" s="5">
        <f>Table3410111213181415[[#This Row],[  70-74]]-Table3410111213[[#This Row],[  70-74]]</f>
        <v>38</v>
      </c>
      <c r="Q27" s="5">
        <f>Table3410111213181415[[#This Row],[  75-79]]-Table3410111213[[#This Row],[  75-79]]</f>
        <v>24</v>
      </c>
      <c r="R27" s="5">
        <f>Table3410111213181415[[#This Row],[  80-84]]-Table3410111213[[#This Row],[  80-84]]</f>
        <v>18</v>
      </c>
      <c r="S27" s="5">
        <f>Table3410111213181415[[#This Row],[  85-89]]-Table3410111213[[#This Row],[  85-89]]</f>
        <v>12</v>
      </c>
      <c r="T27" s="5">
        <f>Table3410111213181415[[#This Row],[  90+]]-Table3410111213[[#This Row],[  90+]]</f>
        <v>10</v>
      </c>
    </row>
    <row r="28" spans="1:20" x14ac:dyDescent="0.2">
      <c r="A28" s="9" t="s">
        <v>9</v>
      </c>
      <c r="B28" s="6" t="s">
        <v>23</v>
      </c>
      <c r="C28" s="5">
        <f>Table3410111213181415[[#This Row],[Total]]-Table3410111213[[#This Row],[Total]]</f>
        <v>6205</v>
      </c>
      <c r="D28" s="38">
        <f>Table3410111213181415[[#This Row],[  5-11]]-Table3410111213[[#This Row],[  5-11]]</f>
        <v>2467.4688079061148</v>
      </c>
      <c r="E28" s="38">
        <f>Table3410111213181415[[#This Row],[  12-17]]-Table3410111213[[#This Row],[  12-17]]</f>
        <v>952.05991352686806</v>
      </c>
      <c r="F28" s="38">
        <f>Table3410111213181415[[#This Row],[  18-24]]-Table3410111213[[#This Row],[  18-24]]</f>
        <v>689.47127856701672</v>
      </c>
      <c r="G28" s="5">
        <f>Table3410111213181415[[#This Row],[  25-29 ]]-Table3410111213[[#This Row],[  25-29 ]]</f>
        <v>392</v>
      </c>
      <c r="H28" s="5">
        <f>Table3410111213181415[[#This Row],[  30-34]]-Table3410111213[[#This Row],[  30-34]]</f>
        <v>353</v>
      </c>
      <c r="I28" s="5">
        <f>Table3410111213181415[[#This Row],[  35-39]]-Table3410111213[[#This Row],[  35-39]]</f>
        <v>352</v>
      </c>
      <c r="J28" s="5">
        <f>Table3410111213181415[[#This Row],[  40-44]]-Table3410111213[[#This Row],[  40-44]]</f>
        <v>298</v>
      </c>
      <c r="K28" s="5">
        <f>Table3410111213181415[[#This Row],[  45-49 ]]-Table3410111213[[#This Row],[  45-49 ]]</f>
        <v>276</v>
      </c>
      <c r="L28" s="5">
        <f>Table3410111213181415[[#This Row],[  50-54]]-Table3410111213[[#This Row],[  50-54]]</f>
        <v>145</v>
      </c>
      <c r="M28" s="5">
        <f>Table3410111213181415[[#This Row],[  55-59]]-Table3410111213[[#This Row],[  55-59]]</f>
        <v>199</v>
      </c>
      <c r="N28" s="5">
        <f>Table3410111213181415[[#This Row],[  60-64]]-Table3410111213[[#This Row],[  60-64]]</f>
        <v>-57</v>
      </c>
      <c r="O28" s="5">
        <f>Table3410111213181415[[#This Row],[  65-69]]-Table3410111213[[#This Row],[  65-69]]</f>
        <v>55</v>
      </c>
      <c r="P28" s="5">
        <f>Table3410111213181415[[#This Row],[  70-74]]-Table3410111213[[#This Row],[  70-74]]</f>
        <v>52</v>
      </c>
      <c r="Q28" s="5">
        <f>Table3410111213181415[[#This Row],[  75-79]]-Table3410111213[[#This Row],[  75-79]]</f>
        <v>14</v>
      </c>
      <c r="R28" s="5">
        <f>Table3410111213181415[[#This Row],[  80-84]]-Table3410111213[[#This Row],[  80-84]]</f>
        <v>1</v>
      </c>
      <c r="S28" s="5">
        <f>Table3410111213181415[[#This Row],[  85-89]]-Table3410111213[[#This Row],[  85-89]]</f>
        <v>6</v>
      </c>
      <c r="T28" s="5">
        <f>Table3410111213181415[[#This Row],[  90+]]-Table3410111213[[#This Row],[  90+]]</f>
        <v>10</v>
      </c>
    </row>
    <row r="29" spans="1:20" x14ac:dyDescent="0.2">
      <c r="A29" s="9" t="s">
        <v>10</v>
      </c>
      <c r="B29" s="6" t="s">
        <v>22</v>
      </c>
      <c r="C29" s="5">
        <f>Table3410111213181415[[#This Row],[Total]]-Table3410111213[[#This Row],[Total]]</f>
        <v>6389</v>
      </c>
      <c r="D29" s="38">
        <f>Table3410111213181415[[#This Row],[  5-11]]-Table3410111213[[#This Row],[  5-11]]</f>
        <v>2272.8647708183344</v>
      </c>
      <c r="E29" s="38">
        <f>Table3410111213181415[[#This Row],[  12-17]]-Table3410111213[[#This Row],[  12-17]]</f>
        <v>796.32109431245499</v>
      </c>
      <c r="F29" s="38">
        <f>Table3410111213181415[[#This Row],[  18-24]]-Table3410111213[[#This Row],[  18-24]]</f>
        <v>792.81413486921065</v>
      </c>
      <c r="G29" s="5">
        <f>Table3410111213181415[[#This Row],[  25-29 ]]-Table3410111213[[#This Row],[  25-29 ]]</f>
        <v>400</v>
      </c>
      <c r="H29" s="5">
        <f>Table3410111213181415[[#This Row],[  30-34]]-Table3410111213[[#This Row],[  30-34]]</f>
        <v>303</v>
      </c>
      <c r="I29" s="5">
        <f>Table3410111213181415[[#This Row],[  35-39]]-Table3410111213[[#This Row],[  35-39]]</f>
        <v>295</v>
      </c>
      <c r="J29" s="5">
        <f>Table3410111213181415[[#This Row],[  40-44]]-Table3410111213[[#This Row],[  40-44]]</f>
        <v>314</v>
      </c>
      <c r="K29" s="5">
        <f>Table3410111213181415[[#This Row],[  45-49 ]]-Table3410111213[[#This Row],[  45-49 ]]</f>
        <v>366</v>
      </c>
      <c r="L29" s="5">
        <f>Table3410111213181415[[#This Row],[  50-54]]-Table3410111213[[#This Row],[  50-54]]</f>
        <v>262</v>
      </c>
      <c r="M29" s="5">
        <f>Table3410111213181415[[#This Row],[  55-59]]-Table3410111213[[#This Row],[  55-59]]</f>
        <v>222</v>
      </c>
      <c r="N29" s="5">
        <f>Table3410111213181415[[#This Row],[  60-64]]-Table3410111213[[#This Row],[  60-64]]</f>
        <v>134</v>
      </c>
      <c r="O29" s="5">
        <f>Table3410111213181415[[#This Row],[  65-69]]-Table3410111213[[#This Row],[  65-69]]</f>
        <v>68</v>
      </c>
      <c r="P29" s="5">
        <f>Table3410111213181415[[#This Row],[  70-74]]-Table3410111213[[#This Row],[  70-74]]</f>
        <v>41</v>
      </c>
      <c r="Q29" s="5">
        <f>Table3410111213181415[[#This Row],[  75-79]]-Table3410111213[[#This Row],[  75-79]]</f>
        <v>44</v>
      </c>
      <c r="R29" s="5">
        <f>Table3410111213181415[[#This Row],[  80-84]]-Table3410111213[[#This Row],[  80-84]]</f>
        <v>29</v>
      </c>
      <c r="S29" s="5">
        <f>Table3410111213181415[[#This Row],[  85-89]]-Table3410111213[[#This Row],[  85-89]]</f>
        <v>30</v>
      </c>
      <c r="T29" s="5">
        <f>Table3410111213181415[[#This Row],[  90+]]-Table3410111213[[#This Row],[  90+]]</f>
        <v>19</v>
      </c>
    </row>
    <row r="30" spans="1:20" x14ac:dyDescent="0.2">
      <c r="A30" s="9" t="s">
        <v>10</v>
      </c>
      <c r="B30" s="6" t="s">
        <v>0</v>
      </c>
      <c r="C30" s="5">
        <f>Table3410111213181415[[#This Row],[Total]]-Table3410111213[[#This Row],[Total]]</f>
        <v>3555</v>
      </c>
      <c r="D30" s="38">
        <f>Table3410111213181415[[#This Row],[  5-11]]-Table3410111213[[#This Row],[  5-11]]</f>
        <v>1194.6713710853212</v>
      </c>
      <c r="E30" s="38">
        <f>Table3410111213181415[[#This Row],[  12-17]]-Table3410111213[[#This Row],[  12-17]]</f>
        <v>431.36035458097626</v>
      </c>
      <c r="F30" s="38">
        <f>Table3410111213181415[[#This Row],[  18-24]]-Table3410111213[[#This Row],[  18-24]]</f>
        <v>383.96827433370277</v>
      </c>
      <c r="G30" s="5">
        <f>Table3410111213181415[[#This Row],[  25-29 ]]-Table3410111213[[#This Row],[  25-29 ]]</f>
        <v>227</v>
      </c>
      <c r="H30" s="5">
        <f>Table3410111213181415[[#This Row],[  30-34]]-Table3410111213[[#This Row],[  30-34]]</f>
        <v>166</v>
      </c>
      <c r="I30" s="5">
        <f>Table3410111213181415[[#This Row],[  35-39]]-Table3410111213[[#This Row],[  35-39]]</f>
        <v>139</v>
      </c>
      <c r="J30" s="5">
        <f>Table3410111213181415[[#This Row],[  40-44]]-Table3410111213[[#This Row],[  40-44]]</f>
        <v>185</v>
      </c>
      <c r="K30" s="5">
        <f>Table3410111213181415[[#This Row],[  45-49 ]]-Table3410111213[[#This Row],[  45-49 ]]</f>
        <v>219</v>
      </c>
      <c r="L30" s="5">
        <f>Table3410111213181415[[#This Row],[  50-54]]-Table3410111213[[#This Row],[  50-54]]</f>
        <v>163</v>
      </c>
      <c r="M30" s="5">
        <f>Table3410111213181415[[#This Row],[  55-59]]-Table3410111213[[#This Row],[  55-59]]</f>
        <v>167</v>
      </c>
      <c r="N30" s="5">
        <f>Table3410111213181415[[#This Row],[  60-64]]-Table3410111213[[#This Row],[  60-64]]</f>
        <v>91</v>
      </c>
      <c r="O30" s="5">
        <f>Table3410111213181415[[#This Row],[  65-69]]-Table3410111213[[#This Row],[  65-69]]</f>
        <v>70</v>
      </c>
      <c r="P30" s="5">
        <f>Table3410111213181415[[#This Row],[  70-74]]-Table3410111213[[#This Row],[  70-74]]</f>
        <v>37</v>
      </c>
      <c r="Q30" s="5">
        <f>Table3410111213181415[[#This Row],[  75-79]]-Table3410111213[[#This Row],[  75-79]]</f>
        <v>42</v>
      </c>
      <c r="R30" s="5">
        <f>Table3410111213181415[[#This Row],[  80-84]]-Table3410111213[[#This Row],[  80-84]]</f>
        <v>10</v>
      </c>
      <c r="S30" s="5">
        <f>Table3410111213181415[[#This Row],[  85-89]]-Table3410111213[[#This Row],[  85-89]]</f>
        <v>19</v>
      </c>
      <c r="T30" s="5">
        <f>Table3410111213181415[[#This Row],[  90+]]-Table3410111213[[#This Row],[  90+]]</f>
        <v>10</v>
      </c>
    </row>
    <row r="31" spans="1:20" x14ac:dyDescent="0.2">
      <c r="A31" s="9" t="s">
        <v>10</v>
      </c>
      <c r="B31" s="6" t="s">
        <v>23</v>
      </c>
      <c r="C31" s="5">
        <f>Table3410111213181415[[#This Row],[Total]]-Table3410111213[[#This Row],[Total]]</f>
        <v>2834</v>
      </c>
      <c r="D31" s="38">
        <f>Table3410111213181415[[#This Row],[  5-11]]-Table3410111213[[#This Row],[  5-11]]</f>
        <v>1078.3675108091413</v>
      </c>
      <c r="E31" s="38">
        <f>Table3410111213181415[[#This Row],[  12-17]]-Table3410111213[[#This Row],[  12-17]]</f>
        <v>364.91785052501541</v>
      </c>
      <c r="F31" s="38">
        <f>Table3410111213181415[[#This Row],[  18-24]]-Table3410111213[[#This Row],[  18-24]]</f>
        <v>408.71463866584304</v>
      </c>
      <c r="G31" s="5">
        <f>Table3410111213181415[[#This Row],[  25-29 ]]-Table3410111213[[#This Row],[  25-29 ]]</f>
        <v>173</v>
      </c>
      <c r="H31" s="5">
        <f>Table3410111213181415[[#This Row],[  30-34]]-Table3410111213[[#This Row],[  30-34]]</f>
        <v>137</v>
      </c>
      <c r="I31" s="5">
        <f>Table3410111213181415[[#This Row],[  35-39]]-Table3410111213[[#This Row],[  35-39]]</f>
        <v>156</v>
      </c>
      <c r="J31" s="5">
        <f>Table3410111213181415[[#This Row],[  40-44]]-Table3410111213[[#This Row],[  40-44]]</f>
        <v>129</v>
      </c>
      <c r="K31" s="5">
        <f>Table3410111213181415[[#This Row],[  45-49 ]]-Table3410111213[[#This Row],[  45-49 ]]</f>
        <v>147</v>
      </c>
      <c r="L31" s="5">
        <f>Table3410111213181415[[#This Row],[  50-54]]-Table3410111213[[#This Row],[  50-54]]</f>
        <v>99</v>
      </c>
      <c r="M31" s="5">
        <f>Table3410111213181415[[#This Row],[  55-59]]-Table3410111213[[#This Row],[  55-59]]</f>
        <v>55</v>
      </c>
      <c r="N31" s="5">
        <f>Table3410111213181415[[#This Row],[  60-64]]-Table3410111213[[#This Row],[  60-64]]</f>
        <v>43</v>
      </c>
      <c r="O31" s="5">
        <f>Table3410111213181415[[#This Row],[  65-69]]-Table3410111213[[#This Row],[  65-69]]</f>
        <v>-2</v>
      </c>
      <c r="P31" s="5">
        <f>Table3410111213181415[[#This Row],[  70-74]]-Table3410111213[[#This Row],[  70-74]]</f>
        <v>4</v>
      </c>
      <c r="Q31" s="5">
        <f>Table3410111213181415[[#This Row],[  75-79]]-Table3410111213[[#This Row],[  75-79]]</f>
        <v>2</v>
      </c>
      <c r="R31" s="5">
        <f>Table3410111213181415[[#This Row],[  80-84]]-Table3410111213[[#This Row],[  80-84]]</f>
        <v>19</v>
      </c>
      <c r="S31" s="5">
        <f>Table3410111213181415[[#This Row],[  85-89]]-Table3410111213[[#This Row],[  85-89]]</f>
        <v>11</v>
      </c>
      <c r="T31" s="5">
        <f>Table3410111213181415[[#This Row],[  90+]]-Table3410111213[[#This Row],[  90+]]</f>
        <v>9</v>
      </c>
    </row>
    <row r="32" spans="1:20" x14ac:dyDescent="0.2">
      <c r="A32" s="9" t="s">
        <v>11</v>
      </c>
      <c r="B32" s="6" t="s">
        <v>22</v>
      </c>
      <c r="C32" s="5">
        <f>Table3410111213181415[[#This Row],[Total]]-Table3410111213[[#This Row],[Total]]</f>
        <v>23258</v>
      </c>
      <c r="D32" s="38">
        <f>Table3410111213181415[[#This Row],[  5-11]]-Table3410111213[[#This Row],[  5-11]]</f>
        <v>8899.5857931365481</v>
      </c>
      <c r="E32" s="38">
        <f>Table3410111213181415[[#This Row],[  12-17]]-Table3410111213[[#This Row],[  12-17]]</f>
        <v>2981.5327573794093</v>
      </c>
      <c r="F32" s="38">
        <f>Table3410111213181415[[#This Row],[  18-24]]-Table3410111213[[#This Row],[  18-24]]</f>
        <v>3121.8814494840426</v>
      </c>
      <c r="G32" s="5">
        <f>Table3410111213181415[[#This Row],[  25-29 ]]-Table3410111213[[#This Row],[  25-29 ]]</f>
        <v>1550</v>
      </c>
      <c r="H32" s="5">
        <f>Table3410111213181415[[#This Row],[  30-34]]-Table3410111213[[#This Row],[  30-34]]</f>
        <v>1391</v>
      </c>
      <c r="I32" s="5">
        <f>Table3410111213181415[[#This Row],[  35-39]]-Table3410111213[[#This Row],[  35-39]]</f>
        <v>1011</v>
      </c>
      <c r="J32" s="5">
        <f>Table3410111213181415[[#This Row],[  40-44]]-Table3410111213[[#This Row],[  40-44]]</f>
        <v>943</v>
      </c>
      <c r="K32" s="5">
        <f>Table3410111213181415[[#This Row],[  45-49 ]]-Table3410111213[[#This Row],[  45-49 ]]</f>
        <v>978</v>
      </c>
      <c r="L32" s="5">
        <f>Table3410111213181415[[#This Row],[  50-54]]-Table3410111213[[#This Row],[  50-54]]</f>
        <v>738</v>
      </c>
      <c r="M32" s="5">
        <f>Table3410111213181415[[#This Row],[  55-59]]-Table3410111213[[#This Row],[  55-59]]</f>
        <v>744</v>
      </c>
      <c r="N32" s="5">
        <f>Table3410111213181415[[#This Row],[  60-64]]-Table3410111213[[#This Row],[  60-64]]</f>
        <v>311</v>
      </c>
      <c r="O32" s="5">
        <f>Table3410111213181415[[#This Row],[  65-69]]-Table3410111213[[#This Row],[  65-69]]</f>
        <v>237</v>
      </c>
      <c r="P32" s="5">
        <f>Table3410111213181415[[#This Row],[  70-74]]-Table3410111213[[#This Row],[  70-74]]</f>
        <v>95</v>
      </c>
      <c r="Q32" s="5">
        <f>Table3410111213181415[[#This Row],[  75-79]]-Table3410111213[[#This Row],[  75-79]]</f>
        <v>129</v>
      </c>
      <c r="R32" s="5">
        <f>Table3410111213181415[[#This Row],[  80-84]]-Table3410111213[[#This Row],[  80-84]]</f>
        <v>80</v>
      </c>
      <c r="S32" s="5">
        <f>Table3410111213181415[[#This Row],[  85-89]]-Table3410111213[[#This Row],[  85-89]]</f>
        <v>33</v>
      </c>
      <c r="T32" s="5">
        <f>Table3410111213181415[[#This Row],[  90+]]-Table3410111213[[#This Row],[  90+]]</f>
        <v>15</v>
      </c>
    </row>
    <row r="33" spans="1:20" x14ac:dyDescent="0.2">
      <c r="A33" s="9" t="s">
        <v>11</v>
      </c>
      <c r="B33" s="6" t="s">
        <v>0</v>
      </c>
      <c r="C33" s="5">
        <f>Table3410111213181415[[#This Row],[Total]]-Table3410111213[[#This Row],[Total]]</f>
        <v>12513</v>
      </c>
      <c r="D33" s="38">
        <f>Table3410111213181415[[#This Row],[  5-11]]-Table3410111213[[#This Row],[  5-11]]</f>
        <v>4617.5251064326121</v>
      </c>
      <c r="E33" s="38">
        <f>Table3410111213181415[[#This Row],[  12-17]]-Table3410111213[[#This Row],[  12-17]]</f>
        <v>1580.7929666997143</v>
      </c>
      <c r="F33" s="38">
        <f>Table3410111213181415[[#This Row],[  18-24]]-Table3410111213[[#This Row],[  18-24]]</f>
        <v>1680.6819268676736</v>
      </c>
      <c r="G33" s="5">
        <f>Table3410111213181415[[#This Row],[  25-29 ]]-Table3410111213[[#This Row],[  25-29 ]]</f>
        <v>860</v>
      </c>
      <c r="H33" s="5">
        <f>Table3410111213181415[[#This Row],[  30-34]]-Table3410111213[[#This Row],[  30-34]]</f>
        <v>692</v>
      </c>
      <c r="I33" s="5">
        <f>Table3410111213181415[[#This Row],[  35-39]]-Table3410111213[[#This Row],[  35-39]]</f>
        <v>558</v>
      </c>
      <c r="J33" s="5">
        <f>Table3410111213181415[[#This Row],[  40-44]]-Table3410111213[[#This Row],[  40-44]]</f>
        <v>512</v>
      </c>
      <c r="K33" s="5">
        <f>Table3410111213181415[[#This Row],[  45-49 ]]-Table3410111213[[#This Row],[  45-49 ]]</f>
        <v>593</v>
      </c>
      <c r="L33" s="5">
        <f>Table3410111213181415[[#This Row],[  50-54]]-Table3410111213[[#This Row],[  50-54]]</f>
        <v>465</v>
      </c>
      <c r="M33" s="5">
        <f>Table3410111213181415[[#This Row],[  55-59]]-Table3410111213[[#This Row],[  55-59]]</f>
        <v>433</v>
      </c>
      <c r="N33" s="5">
        <f>Table3410111213181415[[#This Row],[  60-64]]-Table3410111213[[#This Row],[  60-64]]</f>
        <v>211</v>
      </c>
      <c r="O33" s="5">
        <f>Table3410111213181415[[#This Row],[  65-69]]-Table3410111213[[#This Row],[  65-69]]</f>
        <v>151</v>
      </c>
      <c r="P33" s="5">
        <f>Table3410111213181415[[#This Row],[  70-74]]-Table3410111213[[#This Row],[  70-74]]</f>
        <v>88</v>
      </c>
      <c r="Q33" s="5">
        <f>Table3410111213181415[[#This Row],[  75-79]]-Table3410111213[[#This Row],[  75-79]]</f>
        <v>40</v>
      </c>
      <c r="R33" s="5">
        <f>Table3410111213181415[[#This Row],[  80-84]]-Table3410111213[[#This Row],[  80-84]]</f>
        <v>27</v>
      </c>
      <c r="S33" s="5">
        <f>Table3410111213181415[[#This Row],[  85-89]]-Table3410111213[[#This Row],[  85-89]]</f>
        <v>8</v>
      </c>
      <c r="T33" s="5">
        <f>Table3410111213181415[[#This Row],[  90+]]-Table3410111213[[#This Row],[  90+]]</f>
        <v>-4</v>
      </c>
    </row>
    <row r="34" spans="1:20" x14ac:dyDescent="0.2">
      <c r="A34" s="9" t="s">
        <v>11</v>
      </c>
      <c r="B34" s="6" t="s">
        <v>23</v>
      </c>
      <c r="C34" s="5">
        <f>Table3410111213181415[[#This Row],[Total]]-Table3410111213[[#This Row],[Total]]</f>
        <v>10745</v>
      </c>
      <c r="D34" s="38">
        <f>Table3410111213181415[[#This Row],[  5-11]]-Table3410111213[[#This Row],[  5-11]]</f>
        <v>4282.6151945645461</v>
      </c>
      <c r="E34" s="38">
        <f>Table3410111213181415[[#This Row],[  12-17]]-Table3410111213[[#This Row],[  12-17]]</f>
        <v>1400.5213094502778</v>
      </c>
      <c r="F34" s="38">
        <f>Table3410111213181415[[#This Row],[  18-24]]-Table3410111213[[#This Row],[  18-24]]</f>
        <v>1440.8634959851761</v>
      </c>
      <c r="G34" s="5">
        <f>Table3410111213181415[[#This Row],[  25-29 ]]-Table3410111213[[#This Row],[  25-29 ]]</f>
        <v>690</v>
      </c>
      <c r="H34" s="5">
        <f>Table3410111213181415[[#This Row],[  30-34]]-Table3410111213[[#This Row],[  30-34]]</f>
        <v>699</v>
      </c>
      <c r="I34" s="5">
        <f>Table3410111213181415[[#This Row],[  35-39]]-Table3410111213[[#This Row],[  35-39]]</f>
        <v>453</v>
      </c>
      <c r="J34" s="5">
        <f>Table3410111213181415[[#This Row],[  40-44]]-Table3410111213[[#This Row],[  40-44]]</f>
        <v>431</v>
      </c>
      <c r="K34" s="5">
        <f>Table3410111213181415[[#This Row],[  45-49 ]]-Table3410111213[[#This Row],[  45-49 ]]</f>
        <v>385</v>
      </c>
      <c r="L34" s="5">
        <f>Table3410111213181415[[#This Row],[  50-54]]-Table3410111213[[#This Row],[  50-54]]</f>
        <v>273</v>
      </c>
      <c r="M34" s="5">
        <f>Table3410111213181415[[#This Row],[  55-59]]-Table3410111213[[#This Row],[  55-59]]</f>
        <v>311</v>
      </c>
      <c r="N34" s="5">
        <f>Table3410111213181415[[#This Row],[  60-64]]-Table3410111213[[#This Row],[  60-64]]</f>
        <v>100</v>
      </c>
      <c r="O34" s="5">
        <f>Table3410111213181415[[#This Row],[  65-69]]-Table3410111213[[#This Row],[  65-69]]</f>
        <v>86</v>
      </c>
      <c r="P34" s="5">
        <f>Table3410111213181415[[#This Row],[  70-74]]-Table3410111213[[#This Row],[  70-74]]</f>
        <v>7</v>
      </c>
      <c r="Q34" s="5">
        <f>Table3410111213181415[[#This Row],[  75-79]]-Table3410111213[[#This Row],[  75-79]]</f>
        <v>89</v>
      </c>
      <c r="R34" s="5">
        <f>Table3410111213181415[[#This Row],[  80-84]]-Table3410111213[[#This Row],[  80-84]]</f>
        <v>53</v>
      </c>
      <c r="S34" s="5">
        <f>Table3410111213181415[[#This Row],[  85-89]]-Table3410111213[[#This Row],[  85-89]]</f>
        <v>25</v>
      </c>
      <c r="T34" s="5">
        <f>Table3410111213181415[[#This Row],[  90+]]-Table3410111213[[#This Row],[  90+]]</f>
        <v>19</v>
      </c>
    </row>
    <row r="35" spans="1:20" x14ac:dyDescent="0.2">
      <c r="A35" s="9" t="s">
        <v>12</v>
      </c>
      <c r="B35" s="6" t="s">
        <v>22</v>
      </c>
      <c r="C35" s="5">
        <f>Table3410111213181415[[#This Row],[Total]]-Table3410111213[[#This Row],[Total]]</f>
        <v>-284</v>
      </c>
      <c r="D35" s="38">
        <f>Table3410111213181415[[#This Row],[  5-11]]-Table3410111213[[#This Row],[  5-11]]</f>
        <v>-5</v>
      </c>
      <c r="E35" s="38">
        <f>Table3410111213181415[[#This Row],[  12-17]]-Table3410111213[[#This Row],[  12-17]]</f>
        <v>-30</v>
      </c>
      <c r="F35" s="38">
        <f>Table3410111213181415[[#This Row],[  18-24]]-Table3410111213[[#This Row],[  18-24]]</f>
        <v>-38</v>
      </c>
      <c r="G35" s="5">
        <f>Table3410111213181415[[#This Row],[  25-29 ]]-Table3410111213[[#This Row],[  25-29 ]]</f>
        <v>-34</v>
      </c>
      <c r="H35" s="5">
        <f>Table3410111213181415[[#This Row],[  30-34]]-Table3410111213[[#This Row],[  30-34]]</f>
        <v>-26</v>
      </c>
      <c r="I35" s="5">
        <f>Table3410111213181415[[#This Row],[  35-39]]-Table3410111213[[#This Row],[  35-39]]</f>
        <v>-30</v>
      </c>
      <c r="J35" s="5">
        <f>Table3410111213181415[[#This Row],[  40-44]]-Table3410111213[[#This Row],[  40-44]]</f>
        <v>-21</v>
      </c>
      <c r="K35" s="5">
        <f>Table3410111213181415[[#This Row],[  45-49 ]]-Table3410111213[[#This Row],[  45-49 ]]</f>
        <v>-26</v>
      </c>
      <c r="L35" s="5">
        <f>Table3410111213181415[[#This Row],[  50-54]]-Table3410111213[[#This Row],[  50-54]]</f>
        <v>-27</v>
      </c>
      <c r="M35" s="5">
        <f>Table3410111213181415[[#This Row],[  55-59]]-Table3410111213[[#This Row],[  55-59]]</f>
        <v>-26</v>
      </c>
      <c r="N35" s="5">
        <f>Table3410111213181415[[#This Row],[  60-64]]-Table3410111213[[#This Row],[  60-64]]</f>
        <v>-15</v>
      </c>
      <c r="O35" s="5">
        <f>Table3410111213181415[[#This Row],[  65-69]]-Table3410111213[[#This Row],[  65-69]]</f>
        <v>-6</v>
      </c>
      <c r="P35" s="5">
        <f>Table3410111213181415[[#This Row],[  70-74]]-Table3410111213[[#This Row],[  70-74]]</f>
        <v>0</v>
      </c>
      <c r="Q35" s="5">
        <f>Table3410111213181415[[#This Row],[  75-79]]-Table3410111213[[#This Row],[  75-79]]</f>
        <v>0</v>
      </c>
      <c r="R35" s="5">
        <f>Table3410111213181415[[#This Row],[  80-84]]-Table3410111213[[#This Row],[  80-84]]</f>
        <v>0</v>
      </c>
      <c r="S35" s="5">
        <f>Table3410111213181415[[#This Row],[  85-89]]-Table3410111213[[#This Row],[  85-89]]</f>
        <v>0</v>
      </c>
      <c r="T35" s="5">
        <f>Table3410111213181415[[#This Row],[  90+]]-Table3410111213[[#This Row],[  90+]]</f>
        <v>0</v>
      </c>
    </row>
    <row r="36" spans="1:20" x14ac:dyDescent="0.2">
      <c r="A36" s="9" t="s">
        <v>12</v>
      </c>
      <c r="B36" s="6" t="s">
        <v>0</v>
      </c>
      <c r="C36" s="5">
        <f>Table3410111213181415[[#This Row],[Total]]-Table3410111213[[#This Row],[Total]]</f>
        <v>-151</v>
      </c>
      <c r="D36" s="38">
        <f>Table3410111213181415[[#This Row],[  5-11]]-Table3410111213[[#This Row],[  5-11]]</f>
        <v>0</v>
      </c>
      <c r="E36" s="38">
        <f>Table3410111213181415[[#This Row],[  12-17]]-Table3410111213[[#This Row],[  12-17]]</f>
        <v>-20</v>
      </c>
      <c r="F36" s="38">
        <f>Table3410111213181415[[#This Row],[  18-24]]-Table3410111213[[#This Row],[  18-24]]</f>
        <v>-21</v>
      </c>
      <c r="G36" s="5">
        <f>Table3410111213181415[[#This Row],[  25-29 ]]-Table3410111213[[#This Row],[  25-29 ]]</f>
        <v>-20</v>
      </c>
      <c r="H36" s="5">
        <f>Table3410111213181415[[#This Row],[  30-34]]-Table3410111213[[#This Row],[  30-34]]</f>
        <v>-16</v>
      </c>
      <c r="I36" s="5">
        <f>Table3410111213181415[[#This Row],[  35-39]]-Table3410111213[[#This Row],[  35-39]]</f>
        <v>-17</v>
      </c>
      <c r="J36" s="5">
        <f>Table3410111213181415[[#This Row],[  40-44]]-Table3410111213[[#This Row],[  40-44]]</f>
        <v>-9</v>
      </c>
      <c r="K36" s="5">
        <f>Table3410111213181415[[#This Row],[  45-49 ]]-Table3410111213[[#This Row],[  45-49 ]]</f>
        <v>-17</v>
      </c>
      <c r="L36" s="5">
        <f>Table3410111213181415[[#This Row],[  50-54]]-Table3410111213[[#This Row],[  50-54]]</f>
        <v>-13</v>
      </c>
      <c r="M36" s="5">
        <f>Table3410111213181415[[#This Row],[  55-59]]-Table3410111213[[#This Row],[  55-59]]</f>
        <v>-11</v>
      </c>
      <c r="N36" s="5">
        <f>Table3410111213181415[[#This Row],[  60-64]]-Table3410111213[[#This Row],[  60-64]]</f>
        <v>-7</v>
      </c>
      <c r="O36" s="5">
        <f>Table3410111213181415[[#This Row],[  65-69]]-Table3410111213[[#This Row],[  65-69]]</f>
        <v>0</v>
      </c>
      <c r="P36" s="5">
        <f>Table3410111213181415[[#This Row],[  70-74]]-Table3410111213[[#This Row],[  70-74]]</f>
        <v>0</v>
      </c>
      <c r="Q36" s="5">
        <f>Table3410111213181415[[#This Row],[  75-79]]-Table3410111213[[#This Row],[  75-79]]</f>
        <v>0</v>
      </c>
      <c r="R36" s="5">
        <f>Table3410111213181415[[#This Row],[  80-84]]-Table3410111213[[#This Row],[  80-84]]</f>
        <v>0</v>
      </c>
      <c r="S36" s="5">
        <f>Table3410111213181415[[#This Row],[  85-89]]-Table3410111213[[#This Row],[  85-89]]</f>
        <v>0</v>
      </c>
      <c r="T36" s="5">
        <f>Table3410111213181415[[#This Row],[  90+]]-Table3410111213[[#This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Table3410111213181415[[#This Row],[Total]]-Table3410111213[[#This Row],[Total]]</f>
        <v>-133</v>
      </c>
      <c r="D37" s="38">
        <f>Table3410111213181415[[#This Row],[  5-11]]-Table3410111213[[#This Row],[  5-11]]</f>
        <v>-5</v>
      </c>
      <c r="E37" s="38">
        <f>Table3410111213181415[[#This Row],[  12-17]]-Table3410111213[[#This Row],[  12-17]]</f>
        <v>-10</v>
      </c>
      <c r="F37" s="38">
        <f>Table3410111213181415[[#This Row],[  18-24]]-Table3410111213[[#This Row],[  18-24]]</f>
        <v>-17</v>
      </c>
      <c r="G37" s="5">
        <f>Table3410111213181415[[#This Row],[  25-29 ]]-Table3410111213[[#This Row],[  25-29 ]]</f>
        <v>-14</v>
      </c>
      <c r="H37" s="5">
        <f>Table3410111213181415[[#This Row],[  30-34]]-Table3410111213[[#This Row],[  30-34]]</f>
        <v>-10</v>
      </c>
      <c r="I37" s="5">
        <f>Table3410111213181415[[#This Row],[  35-39]]-Table3410111213[[#This Row],[  35-39]]</f>
        <v>-13</v>
      </c>
      <c r="J37" s="5">
        <f>Table3410111213181415[[#This Row],[  40-44]]-Table3410111213[[#This Row],[  40-44]]</f>
        <v>-12</v>
      </c>
      <c r="K37" s="5">
        <f>Table3410111213181415[[#This Row],[  45-49 ]]-Table3410111213[[#This Row],[  45-49 ]]</f>
        <v>-9</v>
      </c>
      <c r="L37" s="5">
        <f>Table3410111213181415[[#This Row],[  50-54]]-Table3410111213[[#This Row],[  50-54]]</f>
        <v>-14</v>
      </c>
      <c r="M37" s="5">
        <f>Table3410111213181415[[#This Row],[  55-59]]-Table3410111213[[#This Row],[  55-59]]</f>
        <v>-15</v>
      </c>
      <c r="N37" s="5">
        <f>Table3410111213181415[[#This Row],[  60-64]]-Table3410111213[[#This Row],[  60-64]]</f>
        <v>-8</v>
      </c>
      <c r="O37" s="5">
        <f>Table3410111213181415[[#This Row],[  65-69]]-Table3410111213[[#This Row],[  65-69]]</f>
        <v>-6</v>
      </c>
      <c r="P37" s="5">
        <f>Table3410111213181415[[#This Row],[  70-74]]-Table3410111213[[#This Row],[  70-74]]</f>
        <v>0</v>
      </c>
      <c r="Q37" s="5">
        <f>Table3410111213181415[[#This Row],[  75-79]]-Table3410111213[[#This Row],[  75-79]]</f>
        <v>0</v>
      </c>
      <c r="R37" s="5">
        <f>Table3410111213181415[[#This Row],[  80-84]]-Table3410111213[[#This Row],[  80-84]]</f>
        <v>0</v>
      </c>
      <c r="S37" s="5">
        <f>Table3410111213181415[[#This Row],[  85-89]]-Table3410111213[[#This Row],[  85-89]]</f>
        <v>0</v>
      </c>
      <c r="T37" s="5">
        <f>Table3410111213181415[[#This Row],[  90+]]-Table3410111213[[#This Row],[  90+]]</f>
        <v>0</v>
      </c>
    </row>
    <row r="38" spans="1:20" x14ac:dyDescent="0.2">
      <c r="A38" s="9" t="s">
        <v>13</v>
      </c>
      <c r="B38" s="6" t="s">
        <v>22</v>
      </c>
      <c r="C38" s="5">
        <f>Table3410111213181415[[#This Row],[Total]]-Table3410111213[[#This Row],[Total]]</f>
        <v>2050</v>
      </c>
      <c r="D38" s="38">
        <f>Table3410111213181415[[#This Row],[  5-11]]-Table3410111213[[#This Row],[  5-11]]</f>
        <v>776.50959923206142</v>
      </c>
      <c r="E38" s="38">
        <f>Table3410111213181415[[#This Row],[  12-17]]-Table3410111213[[#This Row],[  12-17]]</f>
        <v>295.64002879769612</v>
      </c>
      <c r="F38" s="38">
        <f>Table3410111213181415[[#This Row],[  18-24]]-Table3410111213[[#This Row],[  18-24]]</f>
        <v>277.85037197024246</v>
      </c>
      <c r="G38" s="5">
        <f>Table3410111213181415[[#This Row],[  25-29 ]]-Table3410111213[[#This Row],[  25-29 ]]</f>
        <v>95</v>
      </c>
      <c r="H38" s="5">
        <f>Table3410111213181415[[#This Row],[  30-34]]-Table3410111213[[#This Row],[  30-34]]</f>
        <v>105</v>
      </c>
      <c r="I38" s="5">
        <f>Table3410111213181415[[#This Row],[  35-39]]-Table3410111213[[#This Row],[  35-39]]</f>
        <v>89</v>
      </c>
      <c r="J38" s="5">
        <f>Table3410111213181415[[#This Row],[  40-44]]-Table3410111213[[#This Row],[  40-44]]</f>
        <v>99</v>
      </c>
      <c r="K38" s="5">
        <f>Table3410111213181415[[#This Row],[  45-49 ]]-Table3410111213[[#This Row],[  45-49 ]]</f>
        <v>95</v>
      </c>
      <c r="L38" s="5">
        <f>Table3410111213181415[[#This Row],[  50-54]]-Table3410111213[[#This Row],[  50-54]]</f>
        <v>42</v>
      </c>
      <c r="M38" s="5">
        <f>Table3410111213181415[[#This Row],[  55-59]]-Table3410111213[[#This Row],[  55-59]]</f>
        <v>71</v>
      </c>
      <c r="N38" s="5">
        <f>Table3410111213181415[[#This Row],[  60-64]]-Table3410111213[[#This Row],[  60-64]]</f>
        <v>39</v>
      </c>
      <c r="O38" s="5">
        <f>Table3410111213181415[[#This Row],[  65-69]]-Table3410111213[[#This Row],[  65-69]]</f>
        <v>28</v>
      </c>
      <c r="P38" s="5">
        <f>Table3410111213181415[[#This Row],[  70-74]]-Table3410111213[[#This Row],[  70-74]]</f>
        <v>4</v>
      </c>
      <c r="Q38" s="5">
        <f>Table3410111213181415[[#This Row],[  75-79]]-Table3410111213[[#This Row],[  75-79]]</f>
        <v>7</v>
      </c>
      <c r="R38" s="5">
        <f>Table3410111213181415[[#This Row],[  80-84]]-Table3410111213[[#This Row],[  80-84]]</f>
        <v>5</v>
      </c>
      <c r="S38" s="5">
        <f>Table3410111213181415[[#This Row],[  85-89]]-Table3410111213[[#This Row],[  85-89]]</f>
        <v>11</v>
      </c>
      <c r="T38" s="5">
        <f>Table3410111213181415[[#This Row],[  90+]]-Table3410111213[[#This Row],[  90+]]</f>
        <v>10</v>
      </c>
    </row>
    <row r="39" spans="1:20" x14ac:dyDescent="0.2">
      <c r="A39" s="9" t="s">
        <v>13</v>
      </c>
      <c r="B39" s="6" t="s">
        <v>0</v>
      </c>
      <c r="C39" s="5">
        <f>Table3410111213181415[[#This Row],[Total]]-Table3410111213[[#This Row],[Total]]</f>
        <v>1118</v>
      </c>
      <c r="D39" s="38">
        <f>Table3410111213181415[[#This Row],[  5-11]]-Table3410111213[[#This Row],[  5-11]]</f>
        <v>398.88592756750455</v>
      </c>
      <c r="E39" s="38">
        <f>Table3410111213181415[[#This Row],[  12-17]]-Table3410111213[[#This Row],[  12-17]]</f>
        <v>158.6340467720301</v>
      </c>
      <c r="F39" s="38">
        <f>Table3410111213181415[[#This Row],[  18-24]]-Table3410111213[[#This Row],[  18-24]]</f>
        <v>140.4800256604654</v>
      </c>
      <c r="G39" s="5">
        <f>Table3410111213181415[[#This Row],[  25-29 ]]-Table3410111213[[#This Row],[  25-29 ]]</f>
        <v>58</v>
      </c>
      <c r="H39" s="5">
        <f>Table3410111213181415[[#This Row],[  30-34]]-Table3410111213[[#This Row],[  30-34]]</f>
        <v>64</v>
      </c>
      <c r="I39" s="5">
        <f>Table3410111213181415[[#This Row],[  35-39]]-Table3410111213[[#This Row],[  35-39]]</f>
        <v>45</v>
      </c>
      <c r="J39" s="5">
        <f>Table3410111213181415[[#This Row],[  40-44]]-Table3410111213[[#This Row],[  40-44]]</f>
        <v>56</v>
      </c>
      <c r="K39" s="5">
        <f>Table3410111213181415[[#This Row],[  45-49 ]]-Table3410111213[[#This Row],[  45-49 ]]</f>
        <v>58</v>
      </c>
      <c r="L39" s="5">
        <f>Table3410111213181415[[#This Row],[  50-54]]-Table3410111213[[#This Row],[  50-54]]</f>
        <v>41</v>
      </c>
      <c r="M39" s="5">
        <f>Table3410111213181415[[#This Row],[  55-59]]-Table3410111213[[#This Row],[  55-59]]</f>
        <v>40</v>
      </c>
      <c r="N39" s="5">
        <f>Table3410111213181415[[#This Row],[  60-64]]-Table3410111213[[#This Row],[  60-64]]</f>
        <v>18</v>
      </c>
      <c r="O39" s="5">
        <f>Table3410111213181415[[#This Row],[  65-69]]-Table3410111213[[#This Row],[  65-69]]</f>
        <v>5</v>
      </c>
      <c r="P39" s="5">
        <f>Table3410111213181415[[#This Row],[  70-74]]-Table3410111213[[#This Row],[  70-74]]</f>
        <v>12</v>
      </c>
      <c r="Q39" s="5">
        <f>Table3410111213181415[[#This Row],[  75-79]]-Table3410111213[[#This Row],[  75-79]]</f>
        <v>9</v>
      </c>
      <c r="R39" s="5">
        <f>Table3410111213181415[[#This Row],[  80-84]]-Table3410111213[[#This Row],[  80-84]]</f>
        <v>4</v>
      </c>
      <c r="S39" s="5">
        <f>Table3410111213181415[[#This Row],[  85-89]]-Table3410111213[[#This Row],[  85-89]]</f>
        <v>10</v>
      </c>
      <c r="T39" s="5">
        <f>Table3410111213181415[[#This Row],[  90+]]-Table3410111213[[#This Row],[  90+]]</f>
        <v>0</v>
      </c>
    </row>
    <row r="40" spans="1:20" x14ac:dyDescent="0.2">
      <c r="A40" s="9" t="s">
        <v>13</v>
      </c>
      <c r="B40" s="6" t="s">
        <v>23</v>
      </c>
      <c r="C40" s="5">
        <f>Table3410111213181415[[#This Row],[Total]]-Table3410111213[[#This Row],[Total]]</f>
        <v>932</v>
      </c>
      <c r="D40" s="38">
        <f>Table3410111213181415[[#This Row],[  5-11]]-Table3410111213[[#This Row],[  5-11]]</f>
        <v>377.66460778258181</v>
      </c>
      <c r="E40" s="38">
        <f>Table3410111213181415[[#This Row],[  12-17]]-Table3410111213[[#This Row],[  12-17]]</f>
        <v>136.98085237801109</v>
      </c>
      <c r="F40" s="38">
        <f>Table3410111213181415[[#This Row],[  18-24]]-Table3410111213[[#This Row],[  18-24]]</f>
        <v>137.35453983940704</v>
      </c>
      <c r="G40" s="5">
        <f>Table3410111213181415[[#This Row],[  25-29 ]]-Table3410111213[[#This Row],[  25-29 ]]</f>
        <v>37</v>
      </c>
      <c r="H40" s="5">
        <f>Table3410111213181415[[#This Row],[  30-34]]-Table3410111213[[#This Row],[  30-34]]</f>
        <v>41</v>
      </c>
      <c r="I40" s="5">
        <f>Table3410111213181415[[#This Row],[  35-39]]-Table3410111213[[#This Row],[  35-39]]</f>
        <v>44</v>
      </c>
      <c r="J40" s="5">
        <f>Table3410111213181415[[#This Row],[  40-44]]-Table3410111213[[#This Row],[  40-44]]</f>
        <v>43</v>
      </c>
      <c r="K40" s="5">
        <f>Table3410111213181415[[#This Row],[  45-49 ]]-Table3410111213[[#This Row],[  45-49 ]]</f>
        <v>37</v>
      </c>
      <c r="L40" s="5">
        <f>Table3410111213181415[[#This Row],[  50-54]]-Table3410111213[[#This Row],[  50-54]]</f>
        <v>1</v>
      </c>
      <c r="M40" s="5">
        <f>Table3410111213181415[[#This Row],[  55-59]]-Table3410111213[[#This Row],[  55-59]]</f>
        <v>31</v>
      </c>
      <c r="N40" s="5">
        <f>Table3410111213181415[[#This Row],[  60-64]]-Table3410111213[[#This Row],[  60-64]]</f>
        <v>21</v>
      </c>
      <c r="O40" s="5">
        <f>Table3410111213181415[[#This Row],[  65-69]]-Table3410111213[[#This Row],[  65-69]]</f>
        <v>23</v>
      </c>
      <c r="P40" s="5">
        <f>Table3410111213181415[[#This Row],[  70-74]]-Table3410111213[[#This Row],[  70-74]]</f>
        <v>-8</v>
      </c>
      <c r="Q40" s="5">
        <f>Table3410111213181415[[#This Row],[  75-79]]-Table3410111213[[#This Row],[  75-79]]</f>
        <v>-2</v>
      </c>
      <c r="R40" s="5">
        <f>Table3410111213181415[[#This Row],[  80-84]]-Table3410111213[[#This Row],[  80-84]]</f>
        <v>1</v>
      </c>
      <c r="S40" s="5">
        <f>Table3410111213181415[[#This Row],[  85-89]]-Table3410111213[[#This Row],[  85-89]]</f>
        <v>1</v>
      </c>
      <c r="T40" s="5">
        <f>Table3410111213181415[[#This Row],[  90+]]-Table3410111213[[#This Row],[  90+]]</f>
        <v>10</v>
      </c>
    </row>
    <row r="41" spans="1:20" x14ac:dyDescent="0.2">
      <c r="A41" s="9" t="s">
        <v>14</v>
      </c>
      <c r="B41" s="6" t="s">
        <v>22</v>
      </c>
      <c r="C41" s="5">
        <f>Table3410111213181415[[#This Row],[Total]]-Table3410111213[[#This Row],[Total]]</f>
        <v>12184</v>
      </c>
      <c r="D41" s="38">
        <f>Table3410111213181415[[#This Row],[  5-11]]-Table3410111213[[#This Row],[  5-11]]</f>
        <v>4905.9605831533472</v>
      </c>
      <c r="E41" s="38">
        <f>Table3410111213181415[[#This Row],[  12-17]]-Table3410111213[[#This Row],[  12-17]]</f>
        <v>1949.8531317494599</v>
      </c>
      <c r="F41" s="38">
        <f>Table3410111213181415[[#This Row],[  18-24]]-Table3410111213[[#This Row],[  18-24]]</f>
        <v>702.18628509719292</v>
      </c>
      <c r="G41" s="5">
        <f>Table3410111213181415[[#This Row],[  25-29 ]]-Table3410111213[[#This Row],[  25-29 ]]</f>
        <v>896</v>
      </c>
      <c r="H41" s="5">
        <f>Table3410111213181415[[#This Row],[  30-34]]-Table3410111213[[#This Row],[  30-34]]</f>
        <v>770</v>
      </c>
      <c r="I41" s="5">
        <f>Table3410111213181415[[#This Row],[  35-39]]-Table3410111213[[#This Row],[  35-39]]</f>
        <v>624</v>
      </c>
      <c r="J41" s="5">
        <f>Table3410111213181415[[#This Row],[  40-44]]-Table3410111213[[#This Row],[  40-44]]</f>
        <v>603</v>
      </c>
      <c r="K41" s="5">
        <f>Table3410111213181415[[#This Row],[  45-49 ]]-Table3410111213[[#This Row],[  45-49 ]]</f>
        <v>446</v>
      </c>
      <c r="L41" s="5">
        <f>Table3410111213181415[[#This Row],[  50-54]]-Table3410111213[[#This Row],[  50-54]]</f>
        <v>436</v>
      </c>
      <c r="M41" s="5">
        <f>Table3410111213181415[[#This Row],[  55-59]]-Table3410111213[[#This Row],[  55-59]]</f>
        <v>359</v>
      </c>
      <c r="N41" s="5">
        <f>Table3410111213181415[[#This Row],[  60-64]]-Table3410111213[[#This Row],[  60-64]]</f>
        <v>152</v>
      </c>
      <c r="O41" s="5">
        <f>Table3410111213181415[[#This Row],[  65-69]]-Table3410111213[[#This Row],[  65-69]]</f>
        <v>152</v>
      </c>
      <c r="P41" s="5">
        <f>Table3410111213181415[[#This Row],[  70-74]]-Table3410111213[[#This Row],[  70-74]]</f>
        <v>48</v>
      </c>
      <c r="Q41" s="5">
        <f>Table3410111213181415[[#This Row],[  75-79]]-Table3410111213[[#This Row],[  75-79]]</f>
        <v>50</v>
      </c>
      <c r="R41" s="5">
        <f>Table3410111213181415[[#This Row],[  80-84]]-Table3410111213[[#This Row],[  80-84]]</f>
        <v>60</v>
      </c>
      <c r="S41" s="5">
        <f>Table3410111213181415[[#This Row],[  85-89]]-Table3410111213[[#This Row],[  85-89]]</f>
        <v>13</v>
      </c>
      <c r="T41" s="5">
        <f>Table3410111213181415[[#This Row],[  90+]]-Table3410111213[[#This Row],[  90+]]</f>
        <v>17</v>
      </c>
    </row>
    <row r="42" spans="1:20" x14ac:dyDescent="0.2">
      <c r="A42" s="9" t="s">
        <v>14</v>
      </c>
      <c r="B42" s="6" t="s">
        <v>0</v>
      </c>
      <c r="C42" s="5">
        <f>Table3410111213181415[[#This Row],[Total]]-Table3410111213[[#This Row],[Total]]</f>
        <v>6581</v>
      </c>
      <c r="D42" s="38">
        <f>Table3410111213181415[[#This Row],[  5-11]]-Table3410111213[[#This Row],[  5-11]]</f>
        <v>2531.668863358022</v>
      </c>
      <c r="E42" s="38">
        <f>Table3410111213181415[[#This Row],[  12-17]]-Table3410111213[[#This Row],[  12-17]]</f>
        <v>940.71785151921631</v>
      </c>
      <c r="F42" s="38">
        <f>Table3410111213181415[[#This Row],[  18-24]]-Table3410111213[[#This Row],[  18-24]]</f>
        <v>469.61328512276214</v>
      </c>
      <c r="G42" s="5">
        <f>Table3410111213181415[[#This Row],[  25-29 ]]-Table3410111213[[#This Row],[  25-29 ]]</f>
        <v>503</v>
      </c>
      <c r="H42" s="5">
        <f>Table3410111213181415[[#This Row],[  30-34]]-Table3410111213[[#This Row],[  30-34]]</f>
        <v>417</v>
      </c>
      <c r="I42" s="5">
        <f>Table3410111213181415[[#This Row],[  35-39]]-Table3410111213[[#This Row],[  35-39]]</f>
        <v>323</v>
      </c>
      <c r="J42" s="5">
        <f>Table3410111213181415[[#This Row],[  40-44]]-Table3410111213[[#This Row],[  40-44]]</f>
        <v>324</v>
      </c>
      <c r="K42" s="5">
        <f>Table3410111213181415[[#This Row],[  45-49 ]]-Table3410111213[[#This Row],[  45-49 ]]</f>
        <v>230</v>
      </c>
      <c r="L42" s="5">
        <f>Table3410111213181415[[#This Row],[  50-54]]-Table3410111213[[#This Row],[  50-54]]</f>
        <v>289</v>
      </c>
      <c r="M42" s="5">
        <f>Table3410111213181415[[#This Row],[  55-59]]-Table3410111213[[#This Row],[  55-59]]</f>
        <v>237</v>
      </c>
      <c r="N42" s="5">
        <f>Table3410111213181415[[#This Row],[  60-64]]-Table3410111213[[#This Row],[  60-64]]</f>
        <v>96</v>
      </c>
      <c r="O42" s="5">
        <f>Table3410111213181415[[#This Row],[  65-69]]-Table3410111213[[#This Row],[  65-69]]</f>
        <v>107</v>
      </c>
      <c r="P42" s="5">
        <f>Table3410111213181415[[#This Row],[  70-74]]-Table3410111213[[#This Row],[  70-74]]</f>
        <v>38</v>
      </c>
      <c r="Q42" s="5">
        <f>Table3410111213181415[[#This Row],[  75-79]]-Table3410111213[[#This Row],[  75-79]]</f>
        <v>28</v>
      </c>
      <c r="R42" s="5">
        <f>Table3410111213181415[[#This Row],[  80-84]]-Table3410111213[[#This Row],[  80-84]]</f>
        <v>49</v>
      </c>
      <c r="S42" s="5">
        <f>Table3410111213181415[[#This Row],[  85-89]]-Table3410111213[[#This Row],[  85-89]]</f>
        <v>-10</v>
      </c>
      <c r="T42" s="5">
        <f>Table3410111213181415[[#This Row],[  90+]]-Table3410111213[[#This Row],[  90+]]</f>
        <v>8</v>
      </c>
    </row>
    <row r="43" spans="1:20" x14ac:dyDescent="0.2">
      <c r="A43" s="9" t="s">
        <v>14</v>
      </c>
      <c r="B43" s="6" t="s">
        <v>23</v>
      </c>
      <c r="C43" s="5">
        <f>Table3410111213181415[[#This Row],[Total]]-Table3410111213[[#This Row],[Total]]</f>
        <v>5603</v>
      </c>
      <c r="D43" s="38">
        <f>Table3410111213181415[[#This Row],[  5-11]]-Table3410111213[[#This Row],[  5-11]]</f>
        <v>2374.5898702903023</v>
      </c>
      <c r="E43" s="38">
        <f>Table3410111213181415[[#This Row],[  12-17]]-Table3410111213[[#This Row],[  12-17]]</f>
        <v>1008.9857936998146</v>
      </c>
      <c r="F43" s="38">
        <f>Table3410111213181415[[#This Row],[  18-24]]-Table3410111213[[#This Row],[  18-24]]</f>
        <v>232.42433600988261</v>
      </c>
      <c r="G43" s="5">
        <f>Table3410111213181415[[#This Row],[  25-29 ]]-Table3410111213[[#This Row],[  25-29 ]]</f>
        <v>393</v>
      </c>
      <c r="H43" s="5">
        <f>Table3410111213181415[[#This Row],[  30-34]]-Table3410111213[[#This Row],[  30-34]]</f>
        <v>353</v>
      </c>
      <c r="I43" s="5">
        <f>Table3410111213181415[[#This Row],[  35-39]]-Table3410111213[[#This Row],[  35-39]]</f>
        <v>301</v>
      </c>
      <c r="J43" s="5">
        <f>Table3410111213181415[[#This Row],[  40-44]]-Table3410111213[[#This Row],[  40-44]]</f>
        <v>279</v>
      </c>
      <c r="K43" s="5">
        <f>Table3410111213181415[[#This Row],[  45-49 ]]-Table3410111213[[#This Row],[  45-49 ]]</f>
        <v>216</v>
      </c>
      <c r="L43" s="5">
        <f>Table3410111213181415[[#This Row],[  50-54]]-Table3410111213[[#This Row],[  50-54]]</f>
        <v>147</v>
      </c>
      <c r="M43" s="5">
        <f>Table3410111213181415[[#This Row],[  55-59]]-Table3410111213[[#This Row],[  55-59]]</f>
        <v>122</v>
      </c>
      <c r="N43" s="5">
        <f>Table3410111213181415[[#This Row],[  60-64]]-Table3410111213[[#This Row],[  60-64]]</f>
        <v>56</v>
      </c>
      <c r="O43" s="5">
        <f>Table3410111213181415[[#This Row],[  65-69]]-Table3410111213[[#This Row],[  65-69]]</f>
        <v>45</v>
      </c>
      <c r="P43" s="5">
        <f>Table3410111213181415[[#This Row],[  70-74]]-Table3410111213[[#This Row],[  70-74]]</f>
        <v>10</v>
      </c>
      <c r="Q43" s="5">
        <f>Table3410111213181415[[#This Row],[  75-79]]-Table3410111213[[#This Row],[  75-79]]</f>
        <v>22</v>
      </c>
      <c r="R43" s="5">
        <f>Table3410111213181415[[#This Row],[  80-84]]-Table3410111213[[#This Row],[  80-84]]</f>
        <v>11</v>
      </c>
      <c r="S43" s="5">
        <f>Table3410111213181415[[#This Row],[  85-89]]-Table3410111213[[#This Row],[  85-89]]</f>
        <v>23</v>
      </c>
      <c r="T43" s="5">
        <f>Table3410111213181415[[#This Row],[  90+]]-Table3410111213[[#This Row],[  90+]]</f>
        <v>9</v>
      </c>
    </row>
    <row r="44" spans="1:20" x14ac:dyDescent="0.2">
      <c r="A44" s="9" t="s">
        <v>15</v>
      </c>
      <c r="B44" s="6" t="s">
        <v>22</v>
      </c>
      <c r="C44" s="5">
        <f>Table3410111213181415[[#This Row],[Total]]-Table3410111213[[#This Row],[Total]]</f>
        <v>7446</v>
      </c>
      <c r="D44" s="38">
        <f>Table3410111213181415[[#This Row],[  5-11]]-Table3410111213[[#This Row],[  5-11]]</f>
        <v>2782.6905447564195</v>
      </c>
      <c r="E44" s="38">
        <f>Table3410111213181415[[#This Row],[  12-17]]-Table3410111213[[#This Row],[  12-17]]</f>
        <v>768.85457163426918</v>
      </c>
      <c r="F44" s="38">
        <f>Table3410111213181415[[#This Row],[  18-24]]-Table3410111213[[#This Row],[  18-24]]</f>
        <v>727.45488360931131</v>
      </c>
      <c r="G44" s="5">
        <f>Table3410111213181415[[#This Row],[  25-29 ]]-Table3410111213[[#This Row],[  25-29 ]]</f>
        <v>497</v>
      </c>
      <c r="H44" s="5">
        <f>Table3410111213181415[[#This Row],[  30-34]]-Table3410111213[[#This Row],[  30-34]]</f>
        <v>456</v>
      </c>
      <c r="I44" s="5">
        <f>Table3410111213181415[[#This Row],[  35-39]]-Table3410111213[[#This Row],[  35-39]]</f>
        <v>364</v>
      </c>
      <c r="J44" s="5">
        <f>Table3410111213181415[[#This Row],[  40-44]]-Table3410111213[[#This Row],[  40-44]]</f>
        <v>337</v>
      </c>
      <c r="K44" s="5">
        <f>Table3410111213181415[[#This Row],[  45-49 ]]-Table3410111213[[#This Row],[  45-49 ]]</f>
        <v>478</v>
      </c>
      <c r="L44" s="5">
        <f>Table3410111213181415[[#This Row],[  50-54]]-Table3410111213[[#This Row],[  50-54]]</f>
        <v>269</v>
      </c>
      <c r="M44" s="5">
        <f>Table3410111213181415[[#This Row],[  55-59]]-Table3410111213[[#This Row],[  55-59]]</f>
        <v>300</v>
      </c>
      <c r="N44" s="5">
        <f>Table3410111213181415[[#This Row],[  60-64]]-Table3410111213[[#This Row],[  60-64]]</f>
        <v>164</v>
      </c>
      <c r="O44" s="5">
        <f>Table3410111213181415[[#This Row],[  65-69]]-Table3410111213[[#This Row],[  65-69]]</f>
        <v>127</v>
      </c>
      <c r="P44" s="5">
        <f>Table3410111213181415[[#This Row],[  70-74]]-Table3410111213[[#This Row],[  70-74]]</f>
        <v>47</v>
      </c>
      <c r="Q44" s="5">
        <f>Table3410111213181415[[#This Row],[  75-79]]-Table3410111213[[#This Row],[  75-79]]</f>
        <v>44</v>
      </c>
      <c r="R44" s="5">
        <f>Table3410111213181415[[#This Row],[  80-84]]-Table3410111213[[#This Row],[  80-84]]</f>
        <v>48</v>
      </c>
      <c r="S44" s="5">
        <f>Table3410111213181415[[#This Row],[  85-89]]-Table3410111213[[#This Row],[  85-89]]</f>
        <v>25</v>
      </c>
      <c r="T44" s="5">
        <f>Table3410111213181415[[#This Row],[  90+]]-Table3410111213[[#This Row],[  90+]]</f>
        <v>11</v>
      </c>
    </row>
    <row r="45" spans="1:20" x14ac:dyDescent="0.2">
      <c r="A45" s="9" t="s">
        <v>15</v>
      </c>
      <c r="B45" s="6" t="s">
        <v>0</v>
      </c>
      <c r="C45" s="5">
        <f>Table3410111213181415[[#This Row],[Total]]-Table3410111213[[#This Row],[Total]]</f>
        <v>3833</v>
      </c>
      <c r="D45" s="38">
        <f>Table3410111213181415[[#This Row],[  5-11]]-Table3410111213[[#This Row],[  5-11]]</f>
        <v>1445.2828483116582</v>
      </c>
      <c r="E45" s="38">
        <f>Table3410111213181415[[#This Row],[  12-17]]-Table3410111213[[#This Row],[  12-17]]</f>
        <v>387.9799965008458</v>
      </c>
      <c r="F45" s="38">
        <f>Table3410111213181415[[#This Row],[  18-24]]-Table3410111213[[#This Row],[  18-24]]</f>
        <v>376.73715518749646</v>
      </c>
      <c r="G45" s="5">
        <f>Table3410111213181415[[#This Row],[  25-29 ]]-Table3410111213[[#This Row],[  25-29 ]]</f>
        <v>262</v>
      </c>
      <c r="H45" s="5">
        <f>Table3410111213181415[[#This Row],[  30-34]]-Table3410111213[[#This Row],[  30-34]]</f>
        <v>192</v>
      </c>
      <c r="I45" s="5">
        <f>Table3410111213181415[[#This Row],[  35-39]]-Table3410111213[[#This Row],[  35-39]]</f>
        <v>173</v>
      </c>
      <c r="J45" s="5">
        <f>Table3410111213181415[[#This Row],[  40-44]]-Table3410111213[[#This Row],[  40-44]]</f>
        <v>204</v>
      </c>
      <c r="K45" s="5">
        <f>Table3410111213181415[[#This Row],[  45-49 ]]-Table3410111213[[#This Row],[  45-49 ]]</f>
        <v>269</v>
      </c>
      <c r="L45" s="5">
        <f>Table3410111213181415[[#This Row],[  50-54]]-Table3410111213[[#This Row],[  50-54]]</f>
        <v>129</v>
      </c>
      <c r="M45" s="5">
        <f>Table3410111213181415[[#This Row],[  55-59]]-Table3410111213[[#This Row],[  55-59]]</f>
        <v>154</v>
      </c>
      <c r="N45" s="5">
        <f>Table3410111213181415[[#This Row],[  60-64]]-Table3410111213[[#This Row],[  60-64]]</f>
        <v>114</v>
      </c>
      <c r="O45" s="5">
        <f>Table3410111213181415[[#This Row],[  65-69]]-Table3410111213[[#This Row],[  65-69]]</f>
        <v>67</v>
      </c>
      <c r="P45" s="5">
        <f>Table3410111213181415[[#This Row],[  70-74]]-Table3410111213[[#This Row],[  70-74]]</f>
        <v>-11</v>
      </c>
      <c r="Q45" s="5">
        <f>Table3410111213181415[[#This Row],[  75-79]]-Table3410111213[[#This Row],[  75-79]]</f>
        <v>43</v>
      </c>
      <c r="R45" s="5">
        <f>Table3410111213181415[[#This Row],[  80-84]]-Table3410111213[[#This Row],[  80-84]]</f>
        <v>1</v>
      </c>
      <c r="S45" s="5">
        <f>Table3410111213181415[[#This Row],[  85-89]]-Table3410111213[[#This Row],[  85-89]]</f>
        <v>17</v>
      </c>
      <c r="T45" s="5">
        <f>Table3410111213181415[[#This Row],[  90+]]-Table3410111213[[#This Row],[  90+]]</f>
        <v>9</v>
      </c>
    </row>
    <row r="46" spans="1:20" x14ac:dyDescent="0.2">
      <c r="A46" s="9" t="s">
        <v>15</v>
      </c>
      <c r="B46" s="6" t="s">
        <v>23</v>
      </c>
      <c r="C46" s="5">
        <f>Table3410111213181415[[#This Row],[Total]]-Table3410111213[[#This Row],[Total]]</f>
        <v>3613</v>
      </c>
      <c r="D46" s="38">
        <f>Table3410111213181415[[#This Row],[  5-11]]-Table3410111213[[#This Row],[  5-11]]</f>
        <v>1337.6238418777023</v>
      </c>
      <c r="E46" s="38">
        <f>Table3410111213181415[[#This Row],[  12-17]]-Table3410111213[[#This Row],[  12-17]]</f>
        <v>380.8017294626311</v>
      </c>
      <c r="F46" s="38">
        <f>Table3410111213181415[[#This Row],[  18-24]]-Table3410111213[[#This Row],[  18-24]]</f>
        <v>350.57442865966641</v>
      </c>
      <c r="G46" s="5">
        <f>Table3410111213181415[[#This Row],[  25-29 ]]-Table3410111213[[#This Row],[  25-29 ]]</f>
        <v>235</v>
      </c>
      <c r="H46" s="5">
        <f>Table3410111213181415[[#This Row],[  30-34]]-Table3410111213[[#This Row],[  30-34]]</f>
        <v>264</v>
      </c>
      <c r="I46" s="5">
        <f>Table3410111213181415[[#This Row],[  35-39]]-Table3410111213[[#This Row],[  35-39]]</f>
        <v>191</v>
      </c>
      <c r="J46" s="5">
        <f>Table3410111213181415[[#This Row],[  40-44]]-Table3410111213[[#This Row],[  40-44]]</f>
        <v>133</v>
      </c>
      <c r="K46" s="5">
        <f>Table3410111213181415[[#This Row],[  45-49 ]]-Table3410111213[[#This Row],[  45-49 ]]</f>
        <v>209</v>
      </c>
      <c r="L46" s="5">
        <f>Table3410111213181415[[#This Row],[  50-54]]-Table3410111213[[#This Row],[  50-54]]</f>
        <v>140</v>
      </c>
      <c r="M46" s="5">
        <f>Table3410111213181415[[#This Row],[  55-59]]-Table3410111213[[#This Row],[  55-59]]</f>
        <v>146</v>
      </c>
      <c r="N46" s="5">
        <f>Table3410111213181415[[#This Row],[  60-64]]-Table3410111213[[#This Row],[  60-64]]</f>
        <v>50</v>
      </c>
      <c r="O46" s="5">
        <f>Table3410111213181415[[#This Row],[  65-69]]-Table3410111213[[#This Row],[  65-69]]</f>
        <v>60</v>
      </c>
      <c r="P46" s="5">
        <f>Table3410111213181415[[#This Row],[  70-74]]-Table3410111213[[#This Row],[  70-74]]</f>
        <v>58</v>
      </c>
      <c r="Q46" s="5">
        <f>Table3410111213181415[[#This Row],[  75-79]]-Table3410111213[[#This Row],[  75-79]]</f>
        <v>1</v>
      </c>
      <c r="R46" s="5">
        <f>Table3410111213181415[[#This Row],[  80-84]]-Table3410111213[[#This Row],[  80-84]]</f>
        <v>47</v>
      </c>
      <c r="S46" s="5">
        <f>Table3410111213181415[[#This Row],[  85-89]]-Table3410111213[[#This Row],[  85-89]]</f>
        <v>8</v>
      </c>
      <c r="T46" s="5">
        <f>Table3410111213181415[[#This Row],[  90+]]-Table3410111213[[#This Row],[  90+]]</f>
        <v>2</v>
      </c>
    </row>
    <row r="47" spans="1:20" x14ac:dyDescent="0.2">
      <c r="A47" s="9" t="s">
        <v>16</v>
      </c>
      <c r="B47" s="6" t="s">
        <v>22</v>
      </c>
      <c r="C47" s="5">
        <f>Table3410111213181415[[#This Row],[Total]]-Table3410111213[[#This Row],[Total]]</f>
        <v>9285</v>
      </c>
      <c r="D47" s="38">
        <f>Table3410111213181415[[#This Row],[  5-11]]-Table3410111213[[#This Row],[  5-11]]</f>
        <v>3383.3090352771778</v>
      </c>
      <c r="E47" s="38">
        <f>Table3410111213181415[[#This Row],[  12-17]]-Table3410111213[[#This Row],[  12-17]]</f>
        <v>1236.7861771058315</v>
      </c>
      <c r="F47" s="38">
        <f>Table3410111213181415[[#This Row],[  18-24]]-Table3410111213[[#This Row],[  18-24]]</f>
        <v>1313.9047876169907</v>
      </c>
      <c r="G47" s="5">
        <f>Table3410111213181415[[#This Row],[  25-29 ]]-Table3410111213[[#This Row],[  25-29 ]]</f>
        <v>554</v>
      </c>
      <c r="H47" s="5">
        <f>Table3410111213181415[[#This Row],[  30-34]]-Table3410111213[[#This Row],[  30-34]]</f>
        <v>593</v>
      </c>
      <c r="I47" s="5">
        <f>Table3410111213181415[[#This Row],[  35-39]]-Table3410111213[[#This Row],[  35-39]]</f>
        <v>453</v>
      </c>
      <c r="J47" s="5">
        <f>Table3410111213181415[[#This Row],[  40-44]]-Table3410111213[[#This Row],[  40-44]]</f>
        <v>392</v>
      </c>
      <c r="K47" s="5">
        <f>Table3410111213181415[[#This Row],[  45-49 ]]-Table3410111213[[#This Row],[  45-49 ]]</f>
        <v>397</v>
      </c>
      <c r="L47" s="5">
        <f>Table3410111213181415[[#This Row],[  50-54]]-Table3410111213[[#This Row],[  50-54]]</f>
        <v>336</v>
      </c>
      <c r="M47" s="5">
        <f>Table3410111213181415[[#This Row],[  55-59]]-Table3410111213[[#This Row],[  55-59]]</f>
        <v>202</v>
      </c>
      <c r="N47" s="5">
        <f>Table3410111213181415[[#This Row],[  60-64]]-Table3410111213[[#This Row],[  60-64]]</f>
        <v>150</v>
      </c>
      <c r="O47" s="5">
        <f>Table3410111213181415[[#This Row],[  65-69]]-Table3410111213[[#This Row],[  65-69]]</f>
        <v>71</v>
      </c>
      <c r="P47" s="5">
        <f>Table3410111213181415[[#This Row],[  70-74]]-Table3410111213[[#This Row],[  70-74]]</f>
        <v>53</v>
      </c>
      <c r="Q47" s="5">
        <f>Table3410111213181415[[#This Row],[  75-79]]-Table3410111213[[#This Row],[  75-79]]</f>
        <v>32</v>
      </c>
      <c r="R47" s="5">
        <f>Table3410111213181415[[#This Row],[  80-84]]-Table3410111213[[#This Row],[  80-84]]</f>
        <v>54</v>
      </c>
      <c r="S47" s="5">
        <f>Table3410111213181415[[#This Row],[  85-89]]-Table3410111213[[#This Row],[  85-89]]</f>
        <v>37</v>
      </c>
      <c r="T47" s="5">
        <f>Table3410111213181415[[#This Row],[  90+]]-Table3410111213[[#This Row],[  90+]]</f>
        <v>27</v>
      </c>
    </row>
    <row r="48" spans="1:20" x14ac:dyDescent="0.2">
      <c r="A48" s="9" t="s">
        <v>16</v>
      </c>
      <c r="B48" s="6" t="s">
        <v>0</v>
      </c>
      <c r="C48" s="5">
        <f>Table3410111213181415[[#This Row],[Total]]-Table3410111213[[#This Row],[Total]]</f>
        <v>5039</v>
      </c>
      <c r="D48" s="38">
        <f>Table3410111213181415[[#This Row],[  5-11]]-Table3410111213[[#This Row],[  5-11]]</f>
        <v>1746.7883011605529</v>
      </c>
      <c r="E48" s="38">
        <f>Table3410111213181415[[#This Row],[  12-17]]-Table3410111213[[#This Row],[  12-17]]</f>
        <v>634.78404385606814</v>
      </c>
      <c r="F48" s="38">
        <f>Table3410111213181415[[#This Row],[  18-24]]-Table3410111213[[#This Row],[  18-24]]</f>
        <v>682.42765498337917</v>
      </c>
      <c r="G48" s="5">
        <f>Table3410111213181415[[#This Row],[  25-29 ]]-Table3410111213[[#This Row],[  25-29 ]]</f>
        <v>307</v>
      </c>
      <c r="H48" s="5">
        <f>Table3410111213181415[[#This Row],[  30-34]]-Table3410111213[[#This Row],[  30-34]]</f>
        <v>312</v>
      </c>
      <c r="I48" s="5">
        <f>Table3410111213181415[[#This Row],[  35-39]]-Table3410111213[[#This Row],[  35-39]]</f>
        <v>288</v>
      </c>
      <c r="J48" s="5">
        <f>Table3410111213181415[[#This Row],[  40-44]]-Table3410111213[[#This Row],[  40-44]]</f>
        <v>219</v>
      </c>
      <c r="K48" s="5">
        <f>Table3410111213181415[[#This Row],[  45-49 ]]-Table3410111213[[#This Row],[  45-49 ]]</f>
        <v>262</v>
      </c>
      <c r="L48" s="5">
        <f>Table3410111213181415[[#This Row],[  50-54]]-Table3410111213[[#This Row],[  50-54]]</f>
        <v>199</v>
      </c>
      <c r="M48" s="5">
        <f>Table3410111213181415[[#This Row],[  55-59]]-Table3410111213[[#This Row],[  55-59]]</f>
        <v>147</v>
      </c>
      <c r="N48" s="5">
        <f>Table3410111213181415[[#This Row],[  60-64]]-Table3410111213[[#This Row],[  60-64]]</f>
        <v>72</v>
      </c>
      <c r="O48" s="5">
        <f>Table3410111213181415[[#This Row],[  65-69]]-Table3410111213[[#This Row],[  65-69]]</f>
        <v>78</v>
      </c>
      <c r="P48" s="5">
        <f>Table3410111213181415[[#This Row],[  70-74]]-Table3410111213[[#This Row],[  70-74]]</f>
        <v>22</v>
      </c>
      <c r="Q48" s="5">
        <f>Table3410111213181415[[#This Row],[  75-79]]-Table3410111213[[#This Row],[  75-79]]</f>
        <v>19</v>
      </c>
      <c r="R48" s="5">
        <f>Table3410111213181415[[#This Row],[  80-84]]-Table3410111213[[#This Row],[  80-84]]</f>
        <v>33</v>
      </c>
      <c r="S48" s="5">
        <f>Table3410111213181415[[#This Row],[  85-89]]-Table3410111213[[#This Row],[  85-89]]</f>
        <v>7</v>
      </c>
      <c r="T48" s="5">
        <f>Table3410111213181415[[#This Row],[  90+]]-Table3410111213[[#This Row],[  90+]]</f>
        <v>10</v>
      </c>
    </row>
    <row r="49" spans="1:20" x14ac:dyDescent="0.2">
      <c r="A49" s="9" t="s">
        <v>16</v>
      </c>
      <c r="B49" s="6" t="s">
        <v>23</v>
      </c>
      <c r="C49" s="5">
        <f>Table3410111213181415[[#This Row],[Total]]-Table3410111213[[#This Row],[Total]]</f>
        <v>4246</v>
      </c>
      <c r="D49" s="38">
        <f>Table3410111213181415[[#This Row],[  5-11]]-Table3410111213[[#This Row],[  5-11]]</f>
        <v>1636.7554045707225</v>
      </c>
      <c r="E49" s="38">
        <f>Table3410111213181415[[#This Row],[  12-17]]-Table3410111213[[#This Row],[  12-17]]</f>
        <v>601.92526250772062</v>
      </c>
      <c r="F49" s="38">
        <f>Table3410111213181415[[#This Row],[  18-24]]-Table3410111213[[#This Row],[  18-24]]</f>
        <v>631.31933292155645</v>
      </c>
      <c r="G49" s="5">
        <f>Table3410111213181415[[#This Row],[  25-29 ]]-Table3410111213[[#This Row],[  25-29 ]]</f>
        <v>247</v>
      </c>
      <c r="H49" s="5">
        <f>Table3410111213181415[[#This Row],[  30-34]]-Table3410111213[[#This Row],[  30-34]]</f>
        <v>281</v>
      </c>
      <c r="I49" s="5">
        <f>Table3410111213181415[[#This Row],[  35-39]]-Table3410111213[[#This Row],[  35-39]]</f>
        <v>165</v>
      </c>
      <c r="J49" s="5">
        <f>Table3410111213181415[[#This Row],[  40-44]]-Table3410111213[[#This Row],[  40-44]]</f>
        <v>173</v>
      </c>
      <c r="K49" s="5">
        <f>Table3410111213181415[[#This Row],[  45-49 ]]-Table3410111213[[#This Row],[  45-49 ]]</f>
        <v>135</v>
      </c>
      <c r="L49" s="5">
        <f>Table3410111213181415[[#This Row],[  50-54]]-Table3410111213[[#This Row],[  50-54]]</f>
        <v>137</v>
      </c>
      <c r="M49" s="5">
        <f>Table3410111213181415[[#This Row],[  55-59]]-Table3410111213[[#This Row],[  55-59]]</f>
        <v>55</v>
      </c>
      <c r="N49" s="5">
        <f>Table3410111213181415[[#This Row],[  60-64]]-Table3410111213[[#This Row],[  60-64]]</f>
        <v>78</v>
      </c>
      <c r="O49" s="5">
        <f>Table3410111213181415[[#This Row],[  65-69]]-Table3410111213[[#This Row],[  65-69]]</f>
        <v>-7</v>
      </c>
      <c r="P49" s="5">
        <f>Table3410111213181415[[#This Row],[  70-74]]-Table3410111213[[#This Row],[  70-74]]</f>
        <v>31</v>
      </c>
      <c r="Q49" s="5">
        <f>Table3410111213181415[[#This Row],[  75-79]]-Table3410111213[[#This Row],[  75-79]]</f>
        <v>13</v>
      </c>
      <c r="R49" s="5">
        <f>Table3410111213181415[[#This Row],[  80-84]]-Table3410111213[[#This Row],[  80-84]]</f>
        <v>21</v>
      </c>
      <c r="S49" s="5">
        <f>Table3410111213181415[[#This Row],[  85-89]]-Table3410111213[[#This Row],[  85-89]]</f>
        <v>30</v>
      </c>
      <c r="T49" s="5">
        <f>Table3410111213181415[[#This Row],[  90+]]-Table3410111213[[#This Row],[  90+]]</f>
        <v>17</v>
      </c>
    </row>
    <row r="50" spans="1:20" x14ac:dyDescent="0.2">
      <c r="A50" s="11" t="s">
        <v>17</v>
      </c>
      <c r="B50" s="6" t="s">
        <v>22</v>
      </c>
      <c r="C50" s="5">
        <f>Table3410111213181415[[#This Row],[Total]]-Table3410111213[[#This Row],[Total]]</f>
        <v>35057</v>
      </c>
      <c r="D50" s="38">
        <f>Table3410111213181415[[#This Row],[  5-11]]-Table3410111213[[#This Row],[  5-11]]</f>
        <v>14116.16882649388</v>
      </c>
      <c r="E50" s="38">
        <f>Table3410111213181415[[#This Row],[  12-17]]-Table3410111213[[#This Row],[  12-17]]</f>
        <v>5422.4190064794802</v>
      </c>
      <c r="F50" s="38">
        <f>Table3410111213181415[[#This Row],[  18-24]]-Table3410111213[[#This Row],[  18-24]]</f>
        <v>3867.4121670266395</v>
      </c>
      <c r="G50" s="5">
        <f>Table3410111213181415[[#This Row],[  25-29 ]]-Table3410111213[[#This Row],[  25-29 ]]</f>
        <v>2415</v>
      </c>
      <c r="H50" s="5">
        <f>Table3410111213181415[[#This Row],[  30-34]]-Table3410111213[[#This Row],[  30-34]]</f>
        <v>1963</v>
      </c>
      <c r="I50" s="5">
        <f>Table3410111213181415[[#This Row],[  35-39]]-Table3410111213[[#This Row],[  35-39]]</f>
        <v>1284</v>
      </c>
      <c r="J50" s="5">
        <f>Table3410111213181415[[#This Row],[  40-44]]-Table3410111213[[#This Row],[  40-44]]</f>
        <v>1367</v>
      </c>
      <c r="K50" s="5">
        <f>Table3410111213181415[[#This Row],[  45-49 ]]-Table3410111213[[#This Row],[  45-49 ]]</f>
        <v>1386</v>
      </c>
      <c r="L50" s="5">
        <f>Table3410111213181415[[#This Row],[  50-54]]-Table3410111213[[#This Row],[  50-54]]</f>
        <v>1177</v>
      </c>
      <c r="M50" s="5">
        <f>Table3410111213181415[[#This Row],[  55-59]]-Table3410111213[[#This Row],[  55-59]]</f>
        <v>921</v>
      </c>
      <c r="N50" s="5">
        <f>Table3410111213181415[[#This Row],[  60-64]]-Table3410111213[[#This Row],[  60-64]]</f>
        <v>393</v>
      </c>
      <c r="O50" s="5">
        <f>Table3410111213181415[[#This Row],[  65-69]]-Table3410111213[[#This Row],[  65-69]]</f>
        <v>291</v>
      </c>
      <c r="P50" s="5">
        <f>Table3410111213181415[[#This Row],[  70-74]]-Table3410111213[[#This Row],[  70-74]]</f>
        <v>192</v>
      </c>
      <c r="Q50" s="5">
        <f>Table3410111213181415[[#This Row],[  75-79]]-Table3410111213[[#This Row],[  75-79]]</f>
        <v>70</v>
      </c>
      <c r="R50" s="5">
        <f>Table3410111213181415[[#This Row],[  80-84]]-Table3410111213[[#This Row],[  80-84]]</f>
        <v>88</v>
      </c>
      <c r="S50" s="5">
        <f>Table3410111213181415[[#This Row],[  85-89]]-Table3410111213[[#This Row],[  85-89]]</f>
        <v>103</v>
      </c>
      <c r="T50" s="5">
        <f>Table3410111213181415[[#This Row],[  90+]]-Table3410111213[[#This Row],[  90+]]</f>
        <v>1</v>
      </c>
    </row>
    <row r="51" spans="1:20" x14ac:dyDescent="0.2">
      <c r="A51" s="11" t="s">
        <v>17</v>
      </c>
      <c r="B51" s="6" t="s">
        <v>0</v>
      </c>
      <c r="C51" s="5">
        <f>Table3410111213181415[[#This Row],[Total]]-Table3410111213[[#This Row],[Total]]</f>
        <v>18577</v>
      </c>
      <c r="D51" s="38">
        <f>Table3410111213181415[[#This Row],[  5-11]]-Table3410111213[[#This Row],[  5-11]]</f>
        <v>7298.3570303843244</v>
      </c>
      <c r="E51" s="38">
        <f>Table3410111213181415[[#This Row],[  12-17]]-Table3410111213[[#This Row],[  12-17]]</f>
        <v>2947.0093893975627</v>
      </c>
      <c r="F51" s="38">
        <f>Table3410111213181415[[#This Row],[  18-24]]-Table3410111213[[#This Row],[  18-24]]</f>
        <v>2115.6335802181147</v>
      </c>
      <c r="G51" s="5">
        <f>Table3410111213181415[[#This Row],[  25-29 ]]-Table3410111213[[#This Row],[  25-29 ]]</f>
        <v>1283</v>
      </c>
      <c r="H51" s="5">
        <f>Table3410111213181415[[#This Row],[  30-34]]-Table3410111213[[#This Row],[  30-34]]</f>
        <v>972</v>
      </c>
      <c r="I51" s="5">
        <f>Table3410111213181415[[#This Row],[  35-39]]-Table3410111213[[#This Row],[  35-39]]</f>
        <v>720</v>
      </c>
      <c r="J51" s="5">
        <f>Table3410111213181415[[#This Row],[  40-44]]-Table3410111213[[#This Row],[  40-44]]</f>
        <v>666</v>
      </c>
      <c r="K51" s="5">
        <f>Table3410111213181415[[#This Row],[  45-49 ]]-Table3410111213[[#This Row],[  45-49 ]]</f>
        <v>705</v>
      </c>
      <c r="L51" s="5">
        <f>Table3410111213181415[[#This Row],[  50-54]]-Table3410111213[[#This Row],[  50-54]]</f>
        <v>694</v>
      </c>
      <c r="M51" s="5">
        <f>Table3410111213181415[[#This Row],[  55-59]]-Table3410111213[[#This Row],[  55-59]]</f>
        <v>514</v>
      </c>
      <c r="N51" s="5">
        <f>Table3410111213181415[[#This Row],[  60-64]]-Table3410111213[[#This Row],[  60-64]]</f>
        <v>246</v>
      </c>
      <c r="O51" s="5">
        <f>Table3410111213181415[[#This Row],[  65-69]]-Table3410111213[[#This Row],[  65-69]]</f>
        <v>161</v>
      </c>
      <c r="P51" s="5">
        <f>Table3410111213181415[[#This Row],[  70-74]]-Table3410111213[[#This Row],[  70-74]]</f>
        <v>132</v>
      </c>
      <c r="Q51" s="5">
        <f>Table3410111213181415[[#This Row],[  75-79]]-Table3410111213[[#This Row],[  75-79]]</f>
        <v>38</v>
      </c>
      <c r="R51" s="5">
        <f>Table3410111213181415[[#This Row],[  80-84]]-Table3410111213[[#This Row],[  80-84]]</f>
        <v>44</v>
      </c>
      <c r="S51" s="5">
        <f>Table3410111213181415[[#This Row],[  85-89]]-Table3410111213[[#This Row],[  85-89]]</f>
        <v>43</v>
      </c>
      <c r="T51" s="5">
        <f>Table3410111213181415[[#This Row],[  90+]]-Table3410111213[[#This Row],[  90+]]</f>
        <v>-2</v>
      </c>
    </row>
    <row r="52" spans="1:20" x14ac:dyDescent="0.2">
      <c r="A52" s="11" t="s">
        <v>17</v>
      </c>
      <c r="B52" s="6" t="s">
        <v>23</v>
      </c>
      <c r="C52" s="5">
        <f>Table3410111213181415[[#This Row],[Total]]-Table3410111213[[#This Row],[Total]]</f>
        <v>16480</v>
      </c>
      <c r="D52" s="38">
        <f>Table3410111213181415[[#This Row],[  5-11]]-Table3410111213[[#This Row],[  5-11]]</f>
        <v>6818.6930203829525</v>
      </c>
      <c r="E52" s="38">
        <f>Table3410111213181415[[#This Row],[  12-17]]-Table3410111213[[#This Row],[  12-17]]</f>
        <v>2475.0450895614567</v>
      </c>
      <c r="F52" s="38">
        <f>Table3410111213181415[[#This Row],[  18-24]]-Table3410111213[[#This Row],[  18-24]]</f>
        <v>1751.2618900555899</v>
      </c>
      <c r="G52" s="5">
        <f>Table3410111213181415[[#This Row],[  25-29 ]]-Table3410111213[[#This Row],[  25-29 ]]</f>
        <v>1132</v>
      </c>
      <c r="H52" s="5">
        <f>Table3410111213181415[[#This Row],[  30-34]]-Table3410111213[[#This Row],[  30-34]]</f>
        <v>991</v>
      </c>
      <c r="I52" s="5">
        <f>Table3410111213181415[[#This Row],[  35-39]]-Table3410111213[[#This Row],[  35-39]]</f>
        <v>564</v>
      </c>
      <c r="J52" s="5">
        <f>Table3410111213181415[[#This Row],[  40-44]]-Table3410111213[[#This Row],[  40-44]]</f>
        <v>701</v>
      </c>
      <c r="K52" s="5">
        <f>Table3410111213181415[[#This Row],[  45-49 ]]-Table3410111213[[#This Row],[  45-49 ]]</f>
        <v>681</v>
      </c>
      <c r="L52" s="5">
        <f>Table3410111213181415[[#This Row],[  50-54]]-Table3410111213[[#This Row],[  50-54]]</f>
        <v>483</v>
      </c>
      <c r="M52" s="5">
        <f>Table3410111213181415[[#This Row],[  55-59]]-Table3410111213[[#This Row],[  55-59]]</f>
        <v>407</v>
      </c>
      <c r="N52" s="5">
        <f>Table3410111213181415[[#This Row],[  60-64]]-Table3410111213[[#This Row],[  60-64]]</f>
        <v>147</v>
      </c>
      <c r="O52" s="5">
        <f>Table3410111213181415[[#This Row],[  65-69]]-Table3410111213[[#This Row],[  65-69]]</f>
        <v>130</v>
      </c>
      <c r="P52" s="5">
        <f>Table3410111213181415[[#This Row],[  70-74]]-Table3410111213[[#This Row],[  70-74]]</f>
        <v>60</v>
      </c>
      <c r="Q52" s="5">
        <f>Table3410111213181415[[#This Row],[  75-79]]-Table3410111213[[#This Row],[  75-79]]</f>
        <v>32</v>
      </c>
      <c r="R52" s="5">
        <f>Table3410111213181415[[#This Row],[  80-84]]-Table3410111213[[#This Row],[  80-84]]</f>
        <v>44</v>
      </c>
      <c r="S52" s="5">
        <f>Table3410111213181415[[#This Row],[  85-89]]-Table3410111213[[#This Row],[  85-89]]</f>
        <v>60</v>
      </c>
      <c r="T52" s="5">
        <f>Table3410111213181415[[#This Row],[  90+]]-Table3410111213[[#This Row],[  90+]]</f>
        <v>3</v>
      </c>
    </row>
    <row r="53" spans="1:20" x14ac:dyDescent="0.2">
      <c r="A53" s="9" t="s">
        <v>18</v>
      </c>
      <c r="B53" s="6" t="s">
        <v>22</v>
      </c>
      <c r="C53" s="5">
        <f>Table3410111213181415[[#This Row],[Total]]-Table3410111213[[#This Row],[Total]]</f>
        <v>2341</v>
      </c>
      <c r="D53" s="38">
        <f>Table3410111213181415[[#This Row],[  5-11]]-Table3410111213[[#This Row],[  5-11]]</f>
        <v>1178.7604391648667</v>
      </c>
      <c r="E53" s="38">
        <f>Table3410111213181415[[#This Row],[  12-17]]-Table3410111213[[#This Row],[  12-17]]</f>
        <v>334.35853131749445</v>
      </c>
      <c r="F53" s="38">
        <f>Table3410111213181415[[#This Row],[  18-24]]-Table3410111213[[#This Row],[  18-24]]</f>
        <v>299.88102951763858</v>
      </c>
      <c r="G53" s="5">
        <f>Table3410111213181415[[#This Row],[  25-29 ]]-Table3410111213[[#This Row],[  25-29 ]]</f>
        <v>111</v>
      </c>
      <c r="H53" s="5">
        <f>Table3410111213181415[[#This Row],[  30-34]]-Table3410111213[[#This Row],[  30-34]]</f>
        <v>46</v>
      </c>
      <c r="I53" s="5">
        <f>Table3410111213181415[[#This Row],[  35-39]]-Table3410111213[[#This Row],[  35-39]]</f>
        <v>34</v>
      </c>
      <c r="J53" s="5">
        <f>Table3410111213181415[[#This Row],[  40-44]]-Table3410111213[[#This Row],[  40-44]]</f>
        <v>108</v>
      </c>
      <c r="K53" s="5">
        <f>Table3410111213181415[[#This Row],[  45-49 ]]-Table3410111213[[#This Row],[  45-49 ]]</f>
        <v>49</v>
      </c>
      <c r="L53" s="5">
        <f>Table3410111213181415[[#This Row],[  50-54]]-Table3410111213[[#This Row],[  50-54]]</f>
        <v>71</v>
      </c>
      <c r="M53" s="5">
        <f>Table3410111213181415[[#This Row],[  55-59]]-Table3410111213[[#This Row],[  55-59]]</f>
        <v>45</v>
      </c>
      <c r="N53" s="5">
        <f>Table3410111213181415[[#This Row],[  60-64]]-Table3410111213[[#This Row],[  60-64]]</f>
        <v>18</v>
      </c>
      <c r="O53" s="5">
        <f>Table3410111213181415[[#This Row],[  65-69]]-Table3410111213[[#This Row],[  65-69]]</f>
        <v>7</v>
      </c>
      <c r="P53" s="5">
        <f>Table3410111213181415[[#This Row],[  70-74]]-Table3410111213[[#This Row],[  70-74]]</f>
        <v>25</v>
      </c>
      <c r="Q53" s="5">
        <f>Table3410111213181415[[#This Row],[  75-79]]-Table3410111213[[#This Row],[  75-79]]</f>
        <v>-13</v>
      </c>
      <c r="R53" s="5">
        <f>Table3410111213181415[[#This Row],[  80-84]]-Table3410111213[[#This Row],[  80-84]]</f>
        <v>11</v>
      </c>
      <c r="S53" s="5">
        <f>Table3410111213181415[[#This Row],[  85-89]]-Table3410111213[[#This Row],[  85-89]]</f>
        <v>13</v>
      </c>
      <c r="T53" s="5">
        <f>Table3410111213181415[[#This Row],[  90+]]-Table3410111213[[#This Row],[  90+]]</f>
        <v>3</v>
      </c>
    </row>
    <row r="54" spans="1:20" x14ac:dyDescent="0.2">
      <c r="A54" s="9" t="s">
        <v>18</v>
      </c>
      <c r="B54" s="6" t="s">
        <v>0</v>
      </c>
      <c r="C54" s="5">
        <f>Table3410111213181415[[#This Row],[Total]]-Table3410111213[[#This Row],[Total]]</f>
        <v>1244</v>
      </c>
      <c r="D54" s="38">
        <f>Table3410111213181415[[#This Row],[  5-11]]-Table3410111213[[#This Row],[  5-11]]</f>
        <v>595.17128360646177</v>
      </c>
      <c r="E54" s="38">
        <f>Table3410111213181415[[#This Row],[  12-17]]-Table3410111213[[#This Row],[  12-17]]</f>
        <v>169.2565463346358</v>
      </c>
      <c r="F54" s="38">
        <f>Table3410111213181415[[#This Row],[  18-24]]-Table3410111213[[#This Row],[  18-24]]</f>
        <v>150.57217005890243</v>
      </c>
      <c r="G54" s="5">
        <f>Table3410111213181415[[#This Row],[  25-29 ]]-Table3410111213[[#This Row],[  25-29 ]]</f>
        <v>86</v>
      </c>
      <c r="H54" s="5">
        <f>Table3410111213181415[[#This Row],[  30-34]]-Table3410111213[[#This Row],[  30-34]]</f>
        <v>25</v>
      </c>
      <c r="I54" s="5">
        <f>Table3410111213181415[[#This Row],[  35-39]]-Table3410111213[[#This Row],[  35-39]]</f>
        <v>17</v>
      </c>
      <c r="J54" s="5">
        <f>Table3410111213181415[[#This Row],[  40-44]]-Table3410111213[[#This Row],[  40-44]]</f>
        <v>71</v>
      </c>
      <c r="K54" s="5">
        <f>Table3410111213181415[[#This Row],[  45-49 ]]-Table3410111213[[#This Row],[  45-49 ]]</f>
        <v>22</v>
      </c>
      <c r="L54" s="5">
        <f>Table3410111213181415[[#This Row],[  50-54]]-Table3410111213[[#This Row],[  50-54]]</f>
        <v>62</v>
      </c>
      <c r="M54" s="5">
        <f>Table3410111213181415[[#This Row],[  55-59]]-Table3410111213[[#This Row],[  55-59]]</f>
        <v>23</v>
      </c>
      <c r="N54" s="5">
        <f>Table3410111213181415[[#This Row],[  60-64]]-Table3410111213[[#This Row],[  60-64]]</f>
        <v>1</v>
      </c>
      <c r="O54" s="5">
        <f>Table3410111213181415[[#This Row],[  65-69]]-Table3410111213[[#This Row],[  65-69]]</f>
        <v>5</v>
      </c>
      <c r="P54" s="5">
        <f>Table3410111213181415[[#This Row],[  70-74]]-Table3410111213[[#This Row],[  70-74]]</f>
        <v>5</v>
      </c>
      <c r="Q54" s="5">
        <f>Table3410111213181415[[#This Row],[  75-79]]-Table3410111213[[#This Row],[  75-79]]</f>
        <v>4</v>
      </c>
      <c r="R54" s="5">
        <f>Table3410111213181415[[#This Row],[  80-84]]-Table3410111213[[#This Row],[  80-84]]</f>
        <v>0</v>
      </c>
      <c r="S54" s="5">
        <f>Table3410111213181415[[#This Row],[  85-89]]-Table3410111213[[#This Row],[  85-89]]</f>
        <v>8</v>
      </c>
      <c r="T54" s="5">
        <f>Table3410111213181415[[#This Row],[  90+]]-Table3410111213[[#This Row],[  90+]]</f>
        <v>0</v>
      </c>
    </row>
    <row r="55" spans="1:20" x14ac:dyDescent="0.2">
      <c r="A55" s="9" t="s">
        <v>18</v>
      </c>
      <c r="B55" s="6" t="s">
        <v>23</v>
      </c>
      <c r="C55" s="5">
        <f>Table3410111213181415[[#This Row],[Total]]-Table3410111213[[#This Row],[Total]]</f>
        <v>1097</v>
      </c>
      <c r="D55" s="38">
        <f>Table3410111213181415[[#This Row],[  5-11]]-Table3410111213[[#This Row],[  5-11]]</f>
        <v>583.64051883878938</v>
      </c>
      <c r="E55" s="38">
        <f>Table3410111213181415[[#This Row],[  12-17]]-Table3410111213[[#This Row],[  12-17]]</f>
        <v>165.05682520074117</v>
      </c>
      <c r="F55" s="38">
        <f>Table3410111213181415[[#This Row],[  18-24]]-Table3410111213[[#This Row],[  18-24]]</f>
        <v>149.30265596046945</v>
      </c>
      <c r="G55" s="5">
        <f>Table3410111213181415[[#This Row],[  25-29 ]]-Table3410111213[[#This Row],[  25-29 ]]</f>
        <v>25</v>
      </c>
      <c r="H55" s="5">
        <f>Table3410111213181415[[#This Row],[  30-34]]-Table3410111213[[#This Row],[  30-34]]</f>
        <v>21</v>
      </c>
      <c r="I55" s="5">
        <f>Table3410111213181415[[#This Row],[  35-39]]-Table3410111213[[#This Row],[  35-39]]</f>
        <v>17</v>
      </c>
      <c r="J55" s="5">
        <f>Table3410111213181415[[#This Row],[  40-44]]-Table3410111213[[#This Row],[  40-44]]</f>
        <v>37</v>
      </c>
      <c r="K55" s="5">
        <f>Table3410111213181415[[#This Row],[  45-49 ]]-Table3410111213[[#This Row],[  45-49 ]]</f>
        <v>27</v>
      </c>
      <c r="L55" s="5">
        <f>Table3410111213181415[[#This Row],[  50-54]]-Table3410111213[[#This Row],[  50-54]]</f>
        <v>9</v>
      </c>
      <c r="M55" s="5">
        <f>Table3410111213181415[[#This Row],[  55-59]]-Table3410111213[[#This Row],[  55-59]]</f>
        <v>22</v>
      </c>
      <c r="N55" s="5">
        <f>Table3410111213181415[[#This Row],[  60-64]]-Table3410111213[[#This Row],[  60-64]]</f>
        <v>17</v>
      </c>
      <c r="O55" s="5">
        <f>Table3410111213181415[[#This Row],[  65-69]]-Table3410111213[[#This Row],[  65-69]]</f>
        <v>2</v>
      </c>
      <c r="P55" s="5">
        <f>Table3410111213181415[[#This Row],[  70-74]]-Table3410111213[[#This Row],[  70-74]]</f>
        <v>20</v>
      </c>
      <c r="Q55" s="5">
        <f>Table3410111213181415[[#This Row],[  75-79]]-Table3410111213[[#This Row],[  75-79]]</f>
        <v>-17</v>
      </c>
      <c r="R55" s="5">
        <f>Table3410111213181415[[#This Row],[  80-84]]-Table3410111213[[#This Row],[  80-84]]</f>
        <v>11</v>
      </c>
      <c r="S55" s="5">
        <f>Table3410111213181415[[#This Row],[  85-89]]-Table3410111213[[#This Row],[  85-89]]</f>
        <v>5</v>
      </c>
      <c r="T55" s="5">
        <f>Table3410111213181415[[#This Row],[  90+]]-Table3410111213[[#This Row],[  90+]]</f>
        <v>3</v>
      </c>
    </row>
    <row r="56" spans="1:20" x14ac:dyDescent="0.2">
      <c r="A56" s="9" t="s">
        <v>19</v>
      </c>
      <c r="B56" s="6" t="s">
        <v>22</v>
      </c>
      <c r="C56" s="5">
        <f>Table3410111213181415[[#This Row],[Total]]-Table3410111213[[#This Row],[Total]]</f>
        <v>20219</v>
      </c>
      <c r="D56" s="38">
        <f>Table3410111213181415[[#This Row],[  5-11]]-Table3410111213[[#This Row],[  5-11]]</f>
        <v>7956.2993160547157</v>
      </c>
      <c r="E56" s="38">
        <f>Table3410111213181415[[#This Row],[  12-17]]-Table3410111213[[#This Row],[  12-17]]</f>
        <v>2835.9006479481641</v>
      </c>
      <c r="F56" s="38">
        <f>Table3410111213181415[[#This Row],[  18-24]]-Table3410111213[[#This Row],[  18-24]]</f>
        <v>2132.8000359971211</v>
      </c>
      <c r="G56" s="5">
        <f>Table3410111213181415[[#This Row],[  25-29 ]]-Table3410111213[[#This Row],[  25-29 ]]</f>
        <v>1622</v>
      </c>
      <c r="H56" s="5">
        <f>Table3410111213181415[[#This Row],[  30-34]]-Table3410111213[[#This Row],[  30-34]]</f>
        <v>1093</v>
      </c>
      <c r="I56" s="5">
        <f>Table3410111213181415[[#This Row],[  35-39]]-Table3410111213[[#This Row],[  35-39]]</f>
        <v>840</v>
      </c>
      <c r="J56" s="5">
        <f>Table3410111213181415[[#This Row],[  40-44]]-Table3410111213[[#This Row],[  40-44]]</f>
        <v>832</v>
      </c>
      <c r="K56" s="5">
        <f>Table3410111213181415[[#This Row],[  45-49 ]]-Table3410111213[[#This Row],[  45-49 ]]</f>
        <v>761</v>
      </c>
      <c r="L56" s="5">
        <f>Table3410111213181415[[#This Row],[  50-54]]-Table3410111213[[#This Row],[  50-54]]</f>
        <v>724</v>
      </c>
      <c r="M56" s="5">
        <f>Table3410111213181415[[#This Row],[  55-59]]-Table3410111213[[#This Row],[  55-59]]</f>
        <v>526</v>
      </c>
      <c r="N56" s="5">
        <f>Table3410111213181415[[#This Row],[  60-64]]-Table3410111213[[#This Row],[  60-64]]</f>
        <v>279</v>
      </c>
      <c r="O56" s="5">
        <f>Table3410111213181415[[#This Row],[  65-69]]-Table3410111213[[#This Row],[  65-69]]</f>
        <v>231</v>
      </c>
      <c r="P56" s="5">
        <f>Table3410111213181415[[#This Row],[  70-74]]-Table3410111213[[#This Row],[  70-74]]</f>
        <v>141</v>
      </c>
      <c r="Q56" s="5">
        <f>Table3410111213181415[[#This Row],[  75-79]]-Table3410111213[[#This Row],[  75-79]]</f>
        <v>71</v>
      </c>
      <c r="R56" s="5">
        <f>Table3410111213181415[[#This Row],[  80-84]]-Table3410111213[[#This Row],[  80-84]]</f>
        <v>110</v>
      </c>
      <c r="S56" s="5">
        <f>Table3410111213181415[[#This Row],[  85-89]]-Table3410111213[[#This Row],[  85-89]]</f>
        <v>28</v>
      </c>
      <c r="T56" s="5">
        <f>Table3410111213181415[[#This Row],[  90+]]-Table3410111213[[#This Row],[  90+]]</f>
        <v>36</v>
      </c>
    </row>
    <row r="57" spans="1:20" x14ac:dyDescent="0.2">
      <c r="A57" s="10" t="s">
        <v>19</v>
      </c>
      <c r="B57" s="6" t="s">
        <v>0</v>
      </c>
      <c r="C57" s="5">
        <f>Table3410111213181415[[#This Row],[Total]]-Table3410111213[[#This Row],[Total]]</f>
        <v>11011</v>
      </c>
      <c r="D57" s="38">
        <f>Table3410111213181415[[#This Row],[  5-11]]-Table3410111213[[#This Row],[  5-11]]</f>
        <v>4125.3620458389223</v>
      </c>
      <c r="E57" s="38">
        <f>Table3410111213181415[[#This Row],[  12-17]]-Table3410111213[[#This Row],[  12-17]]</f>
        <v>1539.2943955210822</v>
      </c>
      <c r="F57" s="38">
        <f>Table3410111213181415[[#This Row],[  18-24]]-Table3410111213[[#This Row],[  18-24]]</f>
        <v>1096.3435586399955</v>
      </c>
      <c r="G57" s="5">
        <f>Table3410111213181415[[#This Row],[  25-29 ]]-Table3410111213[[#This Row],[  25-29 ]]</f>
        <v>875</v>
      </c>
      <c r="H57" s="5">
        <f>Table3410111213181415[[#This Row],[  30-34]]-Table3410111213[[#This Row],[  30-34]]</f>
        <v>585</v>
      </c>
      <c r="I57" s="5">
        <f>Table3410111213181415[[#This Row],[  35-39]]-Table3410111213[[#This Row],[  35-39]]</f>
        <v>415</v>
      </c>
      <c r="J57" s="5">
        <f>Table3410111213181415[[#This Row],[  40-44]]-Table3410111213[[#This Row],[  40-44]]</f>
        <v>477</v>
      </c>
      <c r="K57" s="5">
        <f>Table3410111213181415[[#This Row],[  45-49 ]]-Table3410111213[[#This Row],[  45-49 ]]</f>
        <v>502</v>
      </c>
      <c r="L57" s="5">
        <f>Table3410111213181415[[#This Row],[  50-54]]-Table3410111213[[#This Row],[  50-54]]</f>
        <v>502</v>
      </c>
      <c r="M57" s="5">
        <f>Table3410111213181415[[#This Row],[  55-59]]-Table3410111213[[#This Row],[  55-59]]</f>
        <v>344</v>
      </c>
      <c r="N57" s="5">
        <f>Table3410111213181415[[#This Row],[  60-64]]-Table3410111213[[#This Row],[  60-64]]</f>
        <v>169</v>
      </c>
      <c r="O57" s="5">
        <f>Table3410111213181415[[#This Row],[  65-69]]-Table3410111213[[#This Row],[  65-69]]</f>
        <v>172</v>
      </c>
      <c r="P57" s="5">
        <f>Table3410111213181415[[#This Row],[  70-74]]-Table3410111213[[#This Row],[  70-74]]</f>
        <v>100</v>
      </c>
      <c r="Q57" s="5">
        <f>Table3410111213181415[[#This Row],[  75-79]]-Table3410111213[[#This Row],[  75-79]]</f>
        <v>50</v>
      </c>
      <c r="R57" s="5">
        <f>Table3410111213181415[[#This Row],[  80-84]]-Table3410111213[[#This Row],[  80-84]]</f>
        <v>48</v>
      </c>
      <c r="S57" s="5">
        <f>Table3410111213181415[[#This Row],[  85-89]]-Table3410111213[[#This Row],[  85-89]]</f>
        <v>1</v>
      </c>
      <c r="T57" s="5">
        <f>Table3410111213181415[[#This Row],[  90+]]-Table3410111213[[#This Row],[  90+]]</f>
        <v>10</v>
      </c>
    </row>
    <row r="58" spans="1:20" x14ac:dyDescent="0.2">
      <c r="A58" s="10" t="s">
        <v>19</v>
      </c>
      <c r="B58" s="6" t="s">
        <v>23</v>
      </c>
      <c r="C58" s="5">
        <f>Table3410111213181415[[#This Row],[Total]]-Table3410111213[[#This Row],[Total]]</f>
        <v>9208</v>
      </c>
      <c r="D58" s="38">
        <f>Table3410111213181415[[#This Row],[  5-11]]-Table3410111213[[#This Row],[  5-11]]</f>
        <v>3831.4836318715252</v>
      </c>
      <c r="E58" s="38">
        <f>Table3410111213181415[[#This Row],[  12-17]]-Table3410111213[[#This Row],[  12-17]]</f>
        <v>1296.3977764051879</v>
      </c>
      <c r="F58" s="38">
        <f>Table3410111213181415[[#This Row],[  18-24]]-Table3410111213[[#This Row],[  18-24]]</f>
        <v>1036.118591723286</v>
      </c>
      <c r="G58" s="5">
        <f>Table3410111213181415[[#This Row],[  25-29 ]]-Table3410111213[[#This Row],[  25-29 ]]</f>
        <v>747</v>
      </c>
      <c r="H58" s="5">
        <f>Table3410111213181415[[#This Row],[  30-34]]-Table3410111213[[#This Row],[  30-34]]</f>
        <v>508</v>
      </c>
      <c r="I58" s="5">
        <f>Table3410111213181415[[#This Row],[  35-39]]-Table3410111213[[#This Row],[  35-39]]</f>
        <v>425</v>
      </c>
      <c r="J58" s="5">
        <f>Table3410111213181415[[#This Row],[  40-44]]-Table3410111213[[#This Row],[  40-44]]</f>
        <v>355</v>
      </c>
      <c r="K58" s="5">
        <f>Table3410111213181415[[#This Row],[  45-49 ]]-Table3410111213[[#This Row],[  45-49 ]]</f>
        <v>259</v>
      </c>
      <c r="L58" s="5">
        <f>Table3410111213181415[[#This Row],[  50-54]]-Table3410111213[[#This Row],[  50-54]]</f>
        <v>222</v>
      </c>
      <c r="M58" s="5">
        <f>Table3410111213181415[[#This Row],[  55-59]]-Table3410111213[[#This Row],[  55-59]]</f>
        <v>182</v>
      </c>
      <c r="N58" s="5">
        <f>Table3410111213181415[[#This Row],[  60-64]]-Table3410111213[[#This Row],[  60-64]]</f>
        <v>110</v>
      </c>
      <c r="O58" s="5">
        <f>Table3410111213181415[[#This Row],[  65-69]]-Table3410111213[[#This Row],[  65-69]]</f>
        <v>59</v>
      </c>
      <c r="P58" s="5">
        <f>Table3410111213181415[[#This Row],[  70-74]]-Table3410111213[[#This Row],[  70-74]]</f>
        <v>41</v>
      </c>
      <c r="Q58" s="5">
        <f>Table3410111213181415[[#This Row],[  75-79]]-Table3410111213[[#This Row],[  75-79]]</f>
        <v>21</v>
      </c>
      <c r="R58" s="5">
        <f>Table3410111213181415[[#This Row],[  80-84]]-Table3410111213[[#This Row],[  80-84]]</f>
        <v>62</v>
      </c>
      <c r="S58" s="5">
        <f>Table3410111213181415[[#This Row],[  85-89]]-Table3410111213[[#This Row],[  85-89]]</f>
        <v>27</v>
      </c>
      <c r="T58" s="5">
        <f>Table3410111213181415[[#This Row],[  90+]]-Table3410111213[[#This Row],[  90+]]</f>
        <v>26</v>
      </c>
    </row>
    <row r="59" spans="1:20" x14ac:dyDescent="0.2">
      <c r="A59" s="9" t="s">
        <v>20</v>
      </c>
      <c r="B59" s="6" t="s">
        <v>22</v>
      </c>
      <c r="C59" s="5">
        <f>Table3410111213181415[[#This Row],[Total]]-Table3410111213[[#This Row],[Total]]</f>
        <v>1137</v>
      </c>
      <c r="D59" s="38">
        <f>Table3410111213181415[[#This Row],[  5-11]]-Table3410111213[[#This Row],[  5-11]]</f>
        <v>419.24094072474202</v>
      </c>
      <c r="E59" s="38">
        <f>Table3410111213181415[[#This Row],[  12-17]]-Table3410111213[[#This Row],[  12-17]]</f>
        <v>126.96472282217422</v>
      </c>
      <c r="F59" s="38">
        <f>Table3410111213181415[[#This Row],[  18-24]]-Table3410111213[[#This Row],[  18-24]]</f>
        <v>116.79433645308376</v>
      </c>
      <c r="G59" s="5">
        <f>Table3410111213181415[[#This Row],[  25-29 ]]-Table3410111213[[#This Row],[  25-29 ]]</f>
        <v>92</v>
      </c>
      <c r="H59" s="5">
        <f>Table3410111213181415[[#This Row],[  30-34]]-Table3410111213[[#This Row],[  30-34]]</f>
        <v>70</v>
      </c>
      <c r="I59" s="5">
        <f>Table3410111213181415[[#This Row],[  35-39]]-Table3410111213[[#This Row],[  35-39]]</f>
        <v>53</v>
      </c>
      <c r="J59" s="5">
        <f>Table3410111213181415[[#This Row],[  40-44]]-Table3410111213[[#This Row],[  40-44]]</f>
        <v>44</v>
      </c>
      <c r="K59" s="5">
        <f>Table3410111213181415[[#This Row],[  45-49 ]]-Table3410111213[[#This Row],[  45-49 ]]</f>
        <v>31</v>
      </c>
      <c r="L59" s="5">
        <f>Table3410111213181415[[#This Row],[  50-54]]-Table3410111213[[#This Row],[  50-54]]</f>
        <v>39</v>
      </c>
      <c r="M59" s="5">
        <f>Table3410111213181415[[#This Row],[  55-59]]-Table3410111213[[#This Row],[  55-59]]</f>
        <v>75</v>
      </c>
      <c r="N59" s="5">
        <f>Table3410111213181415[[#This Row],[  60-64]]-Table3410111213[[#This Row],[  60-64]]</f>
        <v>14</v>
      </c>
      <c r="O59" s="5">
        <f>Table3410111213181415[[#This Row],[  65-69]]-Table3410111213[[#This Row],[  65-69]]</f>
        <v>22</v>
      </c>
      <c r="P59" s="5">
        <f>Table3410111213181415[[#This Row],[  70-74]]-Table3410111213[[#This Row],[  70-74]]</f>
        <v>23</v>
      </c>
      <c r="Q59" s="5">
        <f>Table3410111213181415[[#This Row],[  75-79]]-Table3410111213[[#This Row],[  75-79]]</f>
        <v>1</v>
      </c>
      <c r="R59" s="5">
        <f>Table3410111213181415[[#This Row],[  80-84]]-Table3410111213[[#This Row],[  80-84]]</f>
        <v>3</v>
      </c>
      <c r="S59" s="5">
        <f>Table3410111213181415[[#This Row],[  85-89]]-Table3410111213[[#This Row],[  85-89]]</f>
        <v>12</v>
      </c>
      <c r="T59" s="5">
        <f>Table3410111213181415[[#This Row],[  90+]]-Table3410111213[[#This Row],[  90+]]</f>
        <v>-5</v>
      </c>
    </row>
    <row r="60" spans="1:20" x14ac:dyDescent="0.2">
      <c r="A60" s="9" t="s">
        <v>20</v>
      </c>
      <c r="B60" s="6" t="s">
        <v>0</v>
      </c>
      <c r="C60" s="5">
        <f>Table3410111213181415[[#This Row],[Total]]-Table3410111213[[#This Row],[Total]]</f>
        <v>593</v>
      </c>
      <c r="D60" s="38">
        <f>Table3410111213181415[[#This Row],[  5-11]]-Table3410111213[[#This Row],[  5-11]]</f>
        <v>229.01090569778972</v>
      </c>
      <c r="E60" s="38">
        <f>Table3410111213181415[[#This Row],[  12-17]]-Table3410111213[[#This Row],[  12-17]]</f>
        <v>56.608094710444988</v>
      </c>
      <c r="F60" s="38">
        <f>Table3410111213181415[[#This Row],[  18-24]]-Table3410111213[[#This Row],[  18-24]]</f>
        <v>58.380999591765345</v>
      </c>
      <c r="G60" s="5">
        <f>Table3410111213181415[[#This Row],[  25-29 ]]-Table3410111213[[#This Row],[  25-29 ]]</f>
        <v>42</v>
      </c>
      <c r="H60" s="5">
        <f>Table3410111213181415[[#This Row],[  30-34]]-Table3410111213[[#This Row],[  30-34]]</f>
        <v>31</v>
      </c>
      <c r="I60" s="5">
        <f>Table3410111213181415[[#This Row],[  35-39]]-Table3410111213[[#This Row],[  35-39]]</f>
        <v>36</v>
      </c>
      <c r="J60" s="5">
        <f>Table3410111213181415[[#This Row],[  40-44]]-Table3410111213[[#This Row],[  40-44]]</f>
        <v>22</v>
      </c>
      <c r="K60" s="5">
        <f>Table3410111213181415[[#This Row],[  45-49 ]]-Table3410111213[[#This Row],[  45-49 ]]</f>
        <v>21</v>
      </c>
      <c r="L60" s="5">
        <f>Table3410111213181415[[#This Row],[  50-54]]-Table3410111213[[#This Row],[  50-54]]</f>
        <v>21</v>
      </c>
      <c r="M60" s="5">
        <f>Table3410111213181415[[#This Row],[  55-59]]-Table3410111213[[#This Row],[  55-59]]</f>
        <v>48</v>
      </c>
      <c r="N60" s="5">
        <f>Table3410111213181415[[#This Row],[  60-64]]-Table3410111213[[#This Row],[  60-64]]</f>
        <v>9</v>
      </c>
      <c r="O60" s="5">
        <f>Table3410111213181415[[#This Row],[  65-69]]-Table3410111213[[#This Row],[  65-69]]</f>
        <v>1</v>
      </c>
      <c r="P60" s="5">
        <f>Table3410111213181415[[#This Row],[  70-74]]-Table3410111213[[#This Row],[  70-74]]</f>
        <v>13</v>
      </c>
      <c r="Q60" s="5">
        <f>Table3410111213181415[[#This Row],[  75-79]]-Table3410111213[[#This Row],[  75-79]]</f>
        <v>7</v>
      </c>
      <c r="R60" s="5">
        <f>Table3410111213181415[[#This Row],[  80-84]]-Table3410111213[[#This Row],[  80-84]]</f>
        <v>1</v>
      </c>
      <c r="S60" s="5">
        <f>Table3410111213181415[[#This Row],[  85-89]]-Table3410111213[[#This Row],[  85-89]]</f>
        <v>2</v>
      </c>
      <c r="T60" s="5">
        <f>Table3410111213181415[[#This Row],[  90+]]-Table3410111213[[#This Row],[  90+]]</f>
        <v>-5</v>
      </c>
    </row>
    <row r="61" spans="1:20" x14ac:dyDescent="0.2">
      <c r="A61" s="9" t="s">
        <v>20</v>
      </c>
      <c r="B61" s="6" t="s">
        <v>23</v>
      </c>
      <c r="C61" s="5">
        <f>Table3410111213181415[[#This Row],[Total]]-Table3410111213[[#This Row],[Total]]</f>
        <v>544</v>
      </c>
      <c r="D61" s="38">
        <f>Table3410111213181415[[#This Row],[  5-11]]-Table3410111213[[#This Row],[  5-11]]</f>
        <v>190.29771463866584</v>
      </c>
      <c r="E61" s="38">
        <f>Table3410111213181415[[#This Row],[  12-17]]-Table3410111213[[#This Row],[  12-17]]</f>
        <v>70.368746139592332</v>
      </c>
      <c r="F61" s="38">
        <f>Table3410111213181415[[#This Row],[  18-24]]-Table3410111213[[#This Row],[  18-24]]</f>
        <v>58.333539221741802</v>
      </c>
      <c r="G61" s="5">
        <f>Table3410111213181415[[#This Row],[  25-29 ]]-Table3410111213[[#This Row],[  25-29 ]]</f>
        <v>50</v>
      </c>
      <c r="H61" s="5">
        <f>Table3410111213181415[[#This Row],[  30-34]]-Table3410111213[[#This Row],[  30-34]]</f>
        <v>39</v>
      </c>
      <c r="I61" s="5">
        <f>Table3410111213181415[[#This Row],[  35-39]]-Table3410111213[[#This Row],[  35-39]]</f>
        <v>17</v>
      </c>
      <c r="J61" s="5">
        <f>Table3410111213181415[[#This Row],[  40-44]]-Table3410111213[[#This Row],[  40-44]]</f>
        <v>22</v>
      </c>
      <c r="K61" s="5">
        <f>Table3410111213181415[[#This Row],[  45-49 ]]-Table3410111213[[#This Row],[  45-49 ]]</f>
        <v>10</v>
      </c>
      <c r="L61" s="5">
        <f>Table3410111213181415[[#This Row],[  50-54]]-Table3410111213[[#This Row],[  50-54]]</f>
        <v>18</v>
      </c>
      <c r="M61" s="5">
        <f>Table3410111213181415[[#This Row],[  55-59]]-Table3410111213[[#This Row],[  55-59]]</f>
        <v>27</v>
      </c>
      <c r="N61" s="5">
        <f>Table3410111213181415[[#This Row],[  60-64]]-Table3410111213[[#This Row],[  60-64]]</f>
        <v>5</v>
      </c>
      <c r="O61" s="5">
        <f>Table3410111213181415[[#This Row],[  65-69]]-Table3410111213[[#This Row],[  65-69]]</f>
        <v>21</v>
      </c>
      <c r="P61" s="5">
        <f>Table3410111213181415[[#This Row],[  70-74]]-Table3410111213[[#This Row],[  70-74]]</f>
        <v>10</v>
      </c>
      <c r="Q61" s="5">
        <f>Table3410111213181415[[#This Row],[  75-79]]-Table3410111213[[#This Row],[  75-79]]</f>
        <v>-6</v>
      </c>
      <c r="R61" s="5">
        <f>Table3410111213181415[[#This Row],[  80-84]]-Table3410111213[[#This Row],[  80-84]]</f>
        <v>2</v>
      </c>
      <c r="S61" s="5">
        <f>Table3410111213181415[[#This Row],[  85-89]]-Table3410111213[[#This Row],[  85-89]]</f>
        <v>10</v>
      </c>
      <c r="T61" s="5">
        <f>Table3410111213181415[[#This Row],[  90+]]-Table3410111213[[#This Row],[  90+]]</f>
        <v>0</v>
      </c>
    </row>
    <row r="62" spans="1:20" x14ac:dyDescent="0.2">
      <c r="A62" s="13" t="s">
        <v>21</v>
      </c>
      <c r="B62" s="6" t="s">
        <v>22</v>
      </c>
      <c r="C62" s="5">
        <f>Table3410111213181415[[#This Row],[Total]]-Table3410111213[[#This Row],[Total]]</f>
        <v>5826</v>
      </c>
      <c r="D62" s="38">
        <f>Table3410111213181415[[#This Row],[  5-11]]-Table3410111213[[#This Row],[  5-11]]</f>
        <v>2309.5307775377969</v>
      </c>
      <c r="E62" s="38">
        <f>Table3410111213181415[[#This Row],[  12-17]]-Table3410111213[[#This Row],[  12-17]]</f>
        <v>769.4708423326133</v>
      </c>
      <c r="F62" s="38">
        <f>Table3410111213181415[[#This Row],[  18-24]]-Table3410111213[[#This Row],[  18-24]]</f>
        <v>671.9983801295898</v>
      </c>
      <c r="G62" s="5">
        <f>Table3410111213181415[[#This Row],[  25-29 ]]-Table3410111213[[#This Row],[  25-29 ]]</f>
        <v>433</v>
      </c>
      <c r="H62" s="5">
        <f>Table3410111213181415[[#This Row],[  30-34]]-Table3410111213[[#This Row],[  30-34]]</f>
        <v>316</v>
      </c>
      <c r="I62" s="5">
        <f>Table3410111213181415[[#This Row],[  35-39]]-Table3410111213[[#This Row],[  35-39]]</f>
        <v>280</v>
      </c>
      <c r="J62" s="5">
        <f>Table3410111213181415[[#This Row],[  40-44]]-Table3410111213[[#This Row],[  40-44]]</f>
        <v>271</v>
      </c>
      <c r="K62" s="5">
        <f>Table3410111213181415[[#This Row],[  45-49 ]]-Table3410111213[[#This Row],[  45-49 ]]</f>
        <v>276</v>
      </c>
      <c r="L62" s="5">
        <f>Table3410111213181415[[#This Row],[  50-54]]-Table3410111213[[#This Row],[  50-54]]</f>
        <v>163</v>
      </c>
      <c r="M62" s="5">
        <f>Table3410111213181415[[#This Row],[  55-59]]-Table3410111213[[#This Row],[  55-59]]</f>
        <v>233</v>
      </c>
      <c r="N62" s="5">
        <f>Table3410111213181415[[#This Row],[  60-64]]-Table3410111213[[#This Row],[  60-64]]</f>
        <v>6</v>
      </c>
      <c r="O62" s="5">
        <f>Table3410111213181415[[#This Row],[  65-69]]-Table3410111213[[#This Row],[  65-69]]</f>
        <v>59</v>
      </c>
      <c r="P62" s="5">
        <f>Table3410111213181415[[#This Row],[  70-74]]-Table3410111213[[#This Row],[  70-74]]</f>
        <v>27</v>
      </c>
      <c r="Q62" s="5">
        <f>Table3410111213181415[[#This Row],[  75-79]]-Table3410111213[[#This Row],[  75-79]]</f>
        <v>1</v>
      </c>
      <c r="R62" s="5">
        <f>Table3410111213181415[[#This Row],[  80-84]]-Table3410111213[[#This Row],[  80-84]]</f>
        <v>11</v>
      </c>
      <c r="S62" s="5">
        <f>Table3410111213181415[[#This Row],[  85-89]]-Table3410111213[[#This Row],[  85-89]]</f>
        <v>0</v>
      </c>
      <c r="T62" s="5">
        <f>Table3410111213181415[[#This Row],[  90+]]-Table3410111213[[#This Row],[  90+]]</f>
        <v>-1</v>
      </c>
    </row>
    <row r="63" spans="1:20" x14ac:dyDescent="0.2">
      <c r="A63" s="10" t="s">
        <v>21</v>
      </c>
      <c r="B63" s="6" t="s">
        <v>0</v>
      </c>
      <c r="C63" s="5">
        <f>Table3410111213181415[[#This Row],[Total]]-Table3410111213[[#This Row],[Total]]</f>
        <v>3070</v>
      </c>
      <c r="D63" s="38">
        <f>Table3410111213181415[[#This Row],[  5-11]]-Table3410111213[[#This Row],[  5-11]]</f>
        <v>1177.3153904473086</v>
      </c>
      <c r="E63" s="38">
        <f>Table3410111213181415[[#This Row],[  12-17]]-Table3410111213[[#This Row],[  12-17]]</f>
        <v>386.59666413949958</v>
      </c>
      <c r="F63" s="38">
        <f>Table3410111213181415[[#This Row],[  18-24]]-Table3410111213[[#This Row],[  18-24]]</f>
        <v>360.08794541319185</v>
      </c>
      <c r="G63" s="5">
        <f>Table3410111213181415[[#This Row],[  25-29 ]]-Table3410111213[[#This Row],[  25-29 ]]</f>
        <v>202</v>
      </c>
      <c r="H63" s="5">
        <f>Table3410111213181415[[#This Row],[  30-34]]-Table3410111213[[#This Row],[  30-34]]</f>
        <v>191</v>
      </c>
      <c r="I63" s="5">
        <f>Table3410111213181415[[#This Row],[  35-39]]-Table3410111213[[#This Row],[  35-39]]</f>
        <v>134</v>
      </c>
      <c r="J63" s="5">
        <f>Table3410111213181415[[#This Row],[  40-44]]-Table3410111213[[#This Row],[  40-44]]</f>
        <v>157</v>
      </c>
      <c r="K63" s="5">
        <f>Table3410111213181415[[#This Row],[  45-49 ]]-Table3410111213[[#This Row],[  45-49 ]]</f>
        <v>149</v>
      </c>
      <c r="L63" s="5">
        <f>Table3410111213181415[[#This Row],[  50-54]]-Table3410111213[[#This Row],[  50-54]]</f>
        <v>126</v>
      </c>
      <c r="M63" s="5">
        <f>Table3410111213181415[[#This Row],[  55-59]]-Table3410111213[[#This Row],[  55-59]]</f>
        <v>136</v>
      </c>
      <c r="N63" s="5">
        <f>Table3410111213181415[[#This Row],[  60-64]]-Table3410111213[[#This Row],[  60-64]]</f>
        <v>16</v>
      </c>
      <c r="O63" s="5">
        <f>Table3410111213181415[[#This Row],[  65-69]]-Table3410111213[[#This Row],[  65-69]]</f>
        <v>25</v>
      </c>
      <c r="P63" s="5">
        <f>Table3410111213181415[[#This Row],[  70-74]]-Table3410111213[[#This Row],[  70-74]]</f>
        <v>13</v>
      </c>
      <c r="Q63" s="5">
        <f>Table3410111213181415[[#This Row],[  75-79]]-Table3410111213[[#This Row],[  75-79]]</f>
        <v>9</v>
      </c>
      <c r="R63" s="5">
        <f>Table3410111213181415[[#This Row],[  80-84]]-Table3410111213[[#This Row],[  80-84]]</f>
        <v>-15</v>
      </c>
      <c r="S63" s="5">
        <f>Table3410111213181415[[#This Row],[  85-89]]-Table3410111213[[#This Row],[  85-89]]</f>
        <v>10</v>
      </c>
      <c r="T63" s="5">
        <f>Table3410111213181415[[#This Row],[  90+]]-Table3410111213[[#This Row],[  90+]]</f>
        <v>-7</v>
      </c>
    </row>
    <row r="64" spans="1:20" x14ac:dyDescent="0.2">
      <c r="A64" s="10" t="s">
        <v>21</v>
      </c>
      <c r="B64" s="6" t="s">
        <v>23</v>
      </c>
      <c r="C64" s="5">
        <f>Table3410111213181415[[#This Row],[Total]]-Table3410111213[[#This Row],[Total]]</f>
        <v>2756</v>
      </c>
      <c r="D64" s="38">
        <f>Table3410111213181415[[#This Row],[  5-11]]-Table3410111213[[#This Row],[  5-11]]</f>
        <v>1132.3329215565163</v>
      </c>
      <c r="E64" s="38">
        <f>Table3410111213181415[[#This Row],[  12-17]]-Table3410111213[[#This Row],[  12-17]]</f>
        <v>382.79617047560214</v>
      </c>
      <c r="F64" s="38">
        <f>Table3410111213181415[[#This Row],[  18-24]]-Table3410111213[[#This Row],[  18-24]]</f>
        <v>311.87090796788129</v>
      </c>
      <c r="G64" s="5">
        <f>Table3410111213181415[[#This Row],[  25-29 ]]-Table3410111213[[#This Row],[  25-29 ]]</f>
        <v>231</v>
      </c>
      <c r="H64" s="5">
        <f>Table3410111213181415[[#This Row],[  30-34]]-Table3410111213[[#This Row],[  30-34]]</f>
        <v>125</v>
      </c>
      <c r="I64" s="5">
        <f>Table3410111213181415[[#This Row],[  35-39]]-Table3410111213[[#This Row],[  35-39]]</f>
        <v>146</v>
      </c>
      <c r="J64" s="5">
        <f>Table3410111213181415[[#This Row],[  40-44]]-Table3410111213[[#This Row],[  40-44]]</f>
        <v>114</v>
      </c>
      <c r="K64" s="5">
        <f>Table3410111213181415[[#This Row],[  45-49 ]]-Table3410111213[[#This Row],[  45-49 ]]</f>
        <v>127</v>
      </c>
      <c r="L64" s="5">
        <f>Table3410111213181415[[#This Row],[  50-54]]-Table3410111213[[#This Row],[  50-54]]</f>
        <v>37</v>
      </c>
      <c r="M64" s="5">
        <f>Table3410111213181415[[#This Row],[  55-59]]-Table3410111213[[#This Row],[  55-59]]</f>
        <v>97</v>
      </c>
      <c r="N64" s="5">
        <f>Table3410111213181415[[#This Row],[  60-64]]-Table3410111213[[#This Row],[  60-64]]</f>
        <v>-10</v>
      </c>
      <c r="O64" s="5">
        <f>Table3410111213181415[[#This Row],[  65-69]]-Table3410111213[[#This Row],[  65-69]]</f>
        <v>34</v>
      </c>
      <c r="P64" s="5">
        <f>Table3410111213181415[[#This Row],[  70-74]]-Table3410111213[[#This Row],[  70-74]]</f>
        <v>14</v>
      </c>
      <c r="Q64" s="5">
        <f>Table3410111213181415[[#This Row],[  75-79]]-Table3410111213[[#This Row],[  75-79]]</f>
        <v>-8</v>
      </c>
      <c r="R64" s="5">
        <f>Table3410111213181415[[#This Row],[  80-84]]-Table3410111213[[#This Row],[  80-84]]</f>
        <v>26</v>
      </c>
      <c r="S64" s="5">
        <f>Table3410111213181415[[#This Row],[  85-89]]-Table3410111213[[#This Row],[  85-89]]</f>
        <v>-10</v>
      </c>
      <c r="T64" s="5">
        <f>Table3410111213181415[[#This Row],[  90+]]-Table3410111213[[#This Row],[  90+]]</f>
        <v>6</v>
      </c>
    </row>
    <row r="65" spans="1:20" x14ac:dyDescent="0.2">
      <c r="A65" s="13" t="s">
        <v>22</v>
      </c>
      <c r="B65" s="6" t="s">
        <v>22</v>
      </c>
      <c r="C65" s="5">
        <f>Table3410111213181415[[#This Row],[Total]]-Table3410111213[[#This Row],[Total]]</f>
        <v>265637</v>
      </c>
      <c r="D65" s="38">
        <f>Table3410111213181415[[#This Row],[  5-11]]-Table3410111213[[#This Row],[  5-11]]</f>
        <v>106601.95050395968</v>
      </c>
      <c r="E65" s="38">
        <f>Table3410111213181415[[#This Row],[  12-17]]-Table3410111213[[#This Row],[  12-17]]</f>
        <v>37927.231101511876</v>
      </c>
      <c r="F65" s="38">
        <f>Table3410111213181415[[#This Row],[  18-24]]-Table3410111213[[#This Row],[  18-24]]</f>
        <v>27102.81839452844</v>
      </c>
      <c r="G65" s="5">
        <f>Table3410111213181415[[#This Row],[  25-29 ]]-Table3410111213[[#This Row],[  25-29 ]]</f>
        <v>18578</v>
      </c>
      <c r="H65" s="5">
        <f>Table3410111213181415[[#This Row],[  30-34]]-Table3410111213[[#This Row],[  30-34]]</f>
        <v>15446</v>
      </c>
      <c r="I65" s="5">
        <f>Table3410111213181415[[#This Row],[  35-39]]-Table3410111213[[#This Row],[  35-39]]</f>
        <v>11251</v>
      </c>
      <c r="J65" s="5">
        <f>Table3410111213181415[[#This Row],[  40-44]]-Table3410111213[[#This Row],[  40-44]]</f>
        <v>11388</v>
      </c>
      <c r="K65" s="5">
        <f>Table3410111213181415[[#This Row],[  45-49 ]]-Table3410111213[[#This Row],[  45-49 ]]</f>
        <v>11187</v>
      </c>
      <c r="L65" s="5">
        <f>Table3410111213181415[[#This Row],[  50-54]]-Table3410111213[[#This Row],[  50-54]]</f>
        <v>8567</v>
      </c>
      <c r="M65" s="5">
        <f>Table3410111213181415[[#This Row],[  55-59]]-Table3410111213[[#This Row],[  55-59]]</f>
        <v>7872</v>
      </c>
      <c r="N65" s="5">
        <f>Table3410111213181415[[#This Row],[  60-64]]-Table3410111213[[#This Row],[  60-64]]</f>
        <v>3386</v>
      </c>
      <c r="O65" s="5">
        <f>Table3410111213181415[[#This Row],[  65-69]]-Table3410111213[[#This Row],[  65-69]]</f>
        <v>2476</v>
      </c>
      <c r="P65" s="5">
        <f>Table3410111213181415[[#This Row],[  70-74]]-Table3410111213[[#This Row],[  70-74]]</f>
        <v>1335</v>
      </c>
      <c r="Q65" s="5">
        <f>Table3410111213181415[[#This Row],[  75-79]]-Table3410111213[[#This Row],[  75-79]]</f>
        <v>913</v>
      </c>
      <c r="R65" s="5">
        <f>Table3410111213181415[[#This Row],[  80-84]]-Table3410111213[[#This Row],[  80-84]]</f>
        <v>750</v>
      </c>
      <c r="S65" s="5">
        <f>Table3410111213181415[[#This Row],[  85-89]]-Table3410111213[[#This Row],[  85-89]]</f>
        <v>578</v>
      </c>
      <c r="T65" s="5">
        <f>Table3410111213181415[[#This Row],[  90+]]-Table3410111213[[#This Row],[  90+]]</f>
        <v>278</v>
      </c>
    </row>
    <row r="66" spans="1:20" x14ac:dyDescent="0.2">
      <c r="A66" s="10" t="s">
        <v>22</v>
      </c>
      <c r="B66" s="6" t="s">
        <v>0</v>
      </c>
      <c r="C66" s="5">
        <f>Table3410111213181415[[#This Row],[Total]]-Table3410111213[[#This Row],[Total]]</f>
        <v>141734</v>
      </c>
      <c r="D66" s="38">
        <f>Table3410111213181415[[#This Row],[  5-11]]-Table3410111213[[#This Row],[  5-11]]</f>
        <v>55026.491864466094</v>
      </c>
      <c r="E66" s="38">
        <f>Table3410111213181415[[#This Row],[  12-17]]-Table3410111213[[#This Row],[  12-17]]</f>
        <v>19974.345833090338</v>
      </c>
      <c r="F66" s="38">
        <f>Table3410111213181415[[#This Row],[  18-24]]-Table3410111213[[#This Row],[  18-24]]</f>
        <v>14916.162302443583</v>
      </c>
      <c r="G66" s="5">
        <f>Table3410111213181415[[#This Row],[  25-29 ]]-Table3410111213[[#This Row],[  25-29 ]]</f>
        <v>10110</v>
      </c>
      <c r="H66" s="5">
        <f>Table3410111213181415[[#This Row],[  30-34]]-Table3410111213[[#This Row],[  30-34]]</f>
        <v>7986</v>
      </c>
      <c r="I66" s="5">
        <f>Table3410111213181415[[#This Row],[  35-39]]-Table3410111213[[#This Row],[  35-39]]</f>
        <v>5885</v>
      </c>
      <c r="J66" s="5">
        <f>Table3410111213181415[[#This Row],[  40-44]]-Table3410111213[[#This Row],[  40-44]]</f>
        <v>5978</v>
      </c>
      <c r="K66" s="5">
        <f>Table3410111213181415[[#This Row],[  45-49 ]]-Table3410111213[[#This Row],[  45-49 ]]</f>
        <v>6302</v>
      </c>
      <c r="L66" s="5">
        <f>Table3410111213181415[[#This Row],[  50-54]]-Table3410111213[[#This Row],[  50-54]]</f>
        <v>5240</v>
      </c>
      <c r="M66" s="5">
        <f>Table3410111213181415[[#This Row],[  55-59]]-Table3410111213[[#This Row],[  55-59]]</f>
        <v>4452</v>
      </c>
      <c r="N66" s="5">
        <f>Table3410111213181415[[#This Row],[  60-64]]-Table3410111213[[#This Row],[  60-64]]</f>
        <v>2149</v>
      </c>
      <c r="O66" s="5">
        <f>Table3410111213181415[[#This Row],[  65-69]]-Table3410111213[[#This Row],[  65-69]]</f>
        <v>1569</v>
      </c>
      <c r="P66" s="5">
        <f>Table3410111213181415[[#This Row],[  70-74]]-Table3410111213[[#This Row],[  70-74]]</f>
        <v>913</v>
      </c>
      <c r="Q66" s="5">
        <f>Table3410111213181415[[#This Row],[  75-79]]-Table3410111213[[#This Row],[  75-79]]</f>
        <v>578</v>
      </c>
      <c r="R66" s="5">
        <f>Table3410111213181415[[#This Row],[  80-84]]-Table3410111213[[#This Row],[  80-84]]</f>
        <v>309</v>
      </c>
      <c r="S66" s="5">
        <f>Table3410111213181415[[#This Row],[  85-89]]-Table3410111213[[#This Row],[  85-89]]</f>
        <v>236</v>
      </c>
      <c r="T66" s="5">
        <f>Table3410111213181415[[#This Row],[  90+]]-Table3410111213[[#This Row],[  90+]]</f>
        <v>110</v>
      </c>
    </row>
    <row r="67" spans="1:20" x14ac:dyDescent="0.2">
      <c r="A67" s="10" t="s">
        <v>22</v>
      </c>
      <c r="B67" s="6" t="s">
        <v>23</v>
      </c>
      <c r="C67" s="5">
        <f>Table3410111213181415[[#This Row],[Total]]-Table3410111213[[#This Row],[Total]]</f>
        <v>123903</v>
      </c>
      <c r="D67" s="38">
        <f>Table3410111213181415[[#This Row],[  5-11]]-Table3410111213[[#This Row],[  5-11]]</f>
        <v>51581.77516985793</v>
      </c>
      <c r="E67" s="38">
        <f>Table3410111213181415[[#This Row],[  12-17]]-Table3410111213[[#This Row],[  12-17]]</f>
        <v>17949.709079678811</v>
      </c>
      <c r="F67" s="38">
        <f>Table3410111213181415[[#This Row],[  18-24]]-Table3410111213[[#This Row],[  18-24]]</f>
        <v>12183.515750463244</v>
      </c>
      <c r="G67" s="5">
        <f>Table3410111213181415[[#This Row],[  25-29 ]]-Table3410111213[[#This Row],[  25-29 ]]</f>
        <v>8468</v>
      </c>
      <c r="H67" s="5">
        <f>Table3410111213181415[[#This Row],[  30-34]]-Table3410111213[[#This Row],[  30-34]]</f>
        <v>7460</v>
      </c>
      <c r="I67" s="5">
        <f>Table3410111213181415[[#This Row],[  35-39]]-Table3410111213[[#This Row],[  35-39]]</f>
        <v>5366</v>
      </c>
      <c r="J67" s="5">
        <f>Table3410111213181415[[#This Row],[  40-44]]-Table3410111213[[#This Row],[  40-44]]</f>
        <v>5410</v>
      </c>
      <c r="K67" s="5">
        <f>Table3410111213181415[[#This Row],[  45-49 ]]-Table3410111213[[#This Row],[  45-49 ]]</f>
        <v>4885</v>
      </c>
      <c r="L67" s="5">
        <f>Table3410111213181415[[#This Row],[  50-54]]-Table3410111213[[#This Row],[  50-54]]</f>
        <v>3327</v>
      </c>
      <c r="M67" s="5">
        <f>Table3410111213181415[[#This Row],[  55-59]]-Table3410111213[[#This Row],[  55-59]]</f>
        <v>3420</v>
      </c>
      <c r="N67" s="5">
        <f>Table3410111213181415[[#This Row],[  60-64]]-Table3410111213[[#This Row],[  60-64]]</f>
        <v>1237</v>
      </c>
      <c r="O67" s="5">
        <f>Table3410111213181415[[#This Row],[  65-69]]-Table3410111213[[#This Row],[  65-69]]</f>
        <v>907</v>
      </c>
      <c r="P67" s="5">
        <f>Table3410111213181415[[#This Row],[  70-74]]-Table3410111213[[#This Row],[  70-74]]</f>
        <v>422</v>
      </c>
      <c r="Q67" s="5">
        <f>Table3410111213181415[[#This Row],[  75-79]]-Table3410111213[[#This Row],[  75-79]]</f>
        <v>335</v>
      </c>
      <c r="R67" s="5">
        <f>Table3410111213181415[[#This Row],[  80-84]]-Table3410111213[[#This Row],[  80-84]]</f>
        <v>441</v>
      </c>
      <c r="S67" s="5">
        <f>Table3410111213181415[[#This Row],[  85-89]]-Table3410111213[[#This Row],[  85-89]]</f>
        <v>342</v>
      </c>
      <c r="T67" s="5">
        <f>Table3410111213181415[[#This Row],[  90+]]-Table3410111213[[#This Row],[  90+]]</f>
        <v>168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9EA-6FA0-0E4D-9302-E9AD3594DEE9}">
  <dimension ref="A1:T67"/>
  <sheetViews>
    <sheetView topLeftCell="A6" zoomScale="90" zoomScaleNormal="90" workbookViewId="0">
      <selection activeCell="W26" sqref="W26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Table34101112131814151623[[#This Row],[Total]]-Table3410112[[#This Row],[Total]]</f>
        <v>34661</v>
      </c>
      <c r="D2" s="5">
        <f>Table34101112131814151623[[#This Row],[  5-11]]-Table3410112[[#This Row],[  5-11]]</f>
        <v>38593.556838865727</v>
      </c>
      <c r="E2" s="5">
        <f>Table34101112131814151623[[#This Row],[  12-17]]-Table3410112[[#This Row],[  12-17]]</f>
        <v>3514.6254099348043</v>
      </c>
      <c r="F2" s="5">
        <f>Table34101112131814151623[[#This Row],[  18-24]]-Table3410112[[#This Row],[  18-24]]</f>
        <v>-14037.182248800527</v>
      </c>
      <c r="G2" s="5">
        <f>Table34101112131814151623[[#This Row],[  25-29 ]]-Table3410112[[#This Row],[  25-29 ]]</f>
        <v>7689</v>
      </c>
      <c r="H2" s="5">
        <f>Table34101112131814151623[[#This Row],[  30-34]]-Table3410112[[#This Row],[  30-34]]</f>
        <v>4109</v>
      </c>
      <c r="I2" s="5">
        <f>Table34101112131814151623[[#This Row],[  35-39]]-Table3410112[[#This Row],[  35-39]]</f>
        <v>269</v>
      </c>
      <c r="J2" s="5">
        <f>Table34101112131814151623[[#This Row],[  40-44]]-Table3410112[[#This Row],[  40-44]]</f>
        <v>-1643</v>
      </c>
      <c r="K2" s="5">
        <f>Table34101112131814151623[[#This Row],[  45-49 ]]-Table3410112[[#This Row],[  45-49 ]]</f>
        <v>271</v>
      </c>
      <c r="L2" s="5">
        <f>Table34101112131814151623[[#This Row],[  50-54]]-Table3410112[[#This Row],[  50-54]]</f>
        <v>-1254</v>
      </c>
      <c r="M2" s="5">
        <f>Table34101112131814151623[[#This Row],[  55-59]]-Table3410112[[#This Row],[  55-59]]</f>
        <v>265</v>
      </c>
      <c r="N2" s="5">
        <f>Table34101112131814151623[[#This Row],[  60-64]]-Table3410112[[#This Row],[  60-64]]</f>
        <v>-666</v>
      </c>
      <c r="O2" s="5">
        <f>Table34101112131814151623[[#This Row],[  65-69]]-Table3410112[[#This Row],[  65-69]]</f>
        <v>-750</v>
      </c>
      <c r="P2" s="5">
        <f>Table34101112131814151623[[#This Row],[  70-74]]-Table3410112[[#This Row],[  70-74]]</f>
        <v>-563</v>
      </c>
      <c r="Q2" s="5">
        <f>Table34101112131814151623[[#This Row],[  75-79]]-Table3410112[[#This Row],[  75-79]]</f>
        <v>-898</v>
      </c>
      <c r="R2" s="5">
        <f>Table34101112131814151623[[#This Row],[  80-84]]-Table3410112[[#This Row],[  80-84]]</f>
        <v>-300</v>
      </c>
      <c r="S2" s="5">
        <f>Table34101112131814151623[[#This Row],[  85-89]]-Table3410112[[#This Row],[  85-89]]</f>
        <v>-154</v>
      </c>
      <c r="T2" s="5">
        <f>Table34101112131814151623[[#This Row],[  90+]]-Table3410112[[#This Row],[  90+]]</f>
        <v>215</v>
      </c>
    </row>
    <row r="3" spans="1:20" x14ac:dyDescent="0.2">
      <c r="A3" s="9" t="s">
        <v>1</v>
      </c>
      <c r="B3" s="6" t="s">
        <v>0</v>
      </c>
      <c r="C3" s="5">
        <f>Table34101112131814151623[[#This Row],[Total]]-Table3410112[[#This Row],[Total]]</f>
        <v>16066</v>
      </c>
      <c r="D3" s="5">
        <f>Table34101112131814151623[[#This Row],[  5-11]]-Table3410112[[#This Row],[  5-11]]</f>
        <v>19552.314544325764</v>
      </c>
      <c r="E3" s="5">
        <f>Table34101112131814151623[[#This Row],[  12-17]]-Table3410112[[#This Row],[  12-17]]</f>
        <v>1828.9108379945119</v>
      </c>
      <c r="F3" s="5">
        <f>Table34101112131814151623[[#This Row],[  18-24]]-Table3410112[[#This Row],[  18-24]]</f>
        <v>-6450.2253823202755</v>
      </c>
      <c r="G3" s="5">
        <f>Table34101112131814151623[[#This Row],[  25-29 ]]-Table3410112[[#This Row],[  25-29 ]]</f>
        <v>3887</v>
      </c>
      <c r="H3" s="5">
        <f>Table34101112131814151623[[#This Row],[  30-34]]-Table3410112[[#This Row],[  30-34]]</f>
        <v>1982</v>
      </c>
      <c r="I3" s="5">
        <f>Table34101112131814151623[[#This Row],[  35-39]]-Table3410112[[#This Row],[  35-39]]</f>
        <v>-458</v>
      </c>
      <c r="J3" s="5">
        <f>Table34101112131814151623[[#This Row],[  40-44]]-Table3410112[[#This Row],[  40-44]]</f>
        <v>-895</v>
      </c>
      <c r="K3" s="5">
        <f>Table34101112131814151623[[#This Row],[  45-49 ]]-Table3410112[[#This Row],[  45-49 ]]</f>
        <v>-23</v>
      </c>
      <c r="L3" s="5">
        <f>Table34101112131814151623[[#This Row],[  50-54]]-Table3410112[[#This Row],[  50-54]]</f>
        <v>-851</v>
      </c>
      <c r="M3" s="5">
        <f>Table34101112131814151623[[#This Row],[  55-59]]-Table3410112[[#This Row],[  55-59]]</f>
        <v>-224</v>
      </c>
      <c r="N3" s="5">
        <f>Table34101112131814151623[[#This Row],[  60-64]]-Table3410112[[#This Row],[  60-64]]</f>
        <v>-489</v>
      </c>
      <c r="O3" s="5">
        <f>Table34101112131814151623[[#This Row],[  65-69]]-Table3410112[[#This Row],[  65-69]]</f>
        <v>-638</v>
      </c>
      <c r="P3" s="5">
        <f>Table34101112131814151623[[#This Row],[  70-74]]-Table3410112[[#This Row],[  70-74]]</f>
        <v>-434</v>
      </c>
      <c r="Q3" s="5">
        <f>Table34101112131814151623[[#This Row],[  75-79]]-Table3410112[[#This Row],[  75-79]]</f>
        <v>-412</v>
      </c>
      <c r="R3" s="5">
        <f>Table34101112131814151623[[#This Row],[  80-84]]-Table3410112[[#This Row],[  80-84]]</f>
        <v>-238</v>
      </c>
      <c r="S3" s="5">
        <f>Table34101112131814151623[[#This Row],[  85-89]]-Table3410112[[#This Row],[  85-89]]</f>
        <v>-103</v>
      </c>
      <c r="T3" s="5">
        <f>Table34101112131814151623[[#This Row],[  90+]]-Table3410112[[#This Row],[  90+]]</f>
        <v>31</v>
      </c>
    </row>
    <row r="4" spans="1:20" x14ac:dyDescent="0.2">
      <c r="A4" s="9" t="s">
        <v>1</v>
      </c>
      <c r="B4" s="6" t="s">
        <v>23</v>
      </c>
      <c r="C4" s="5">
        <f>Table34101112131814151623[[#This Row],[Total]]-Table3410112[[#This Row],[Total]]</f>
        <v>18595</v>
      </c>
      <c r="D4" s="5">
        <f>Table34101112131814151623[[#This Row],[  5-11]]-Table3410112[[#This Row],[  5-11]]</f>
        <v>19040.719180336462</v>
      </c>
      <c r="E4" s="5">
        <f>Table34101112131814151623[[#This Row],[  12-17]]-Table3410112[[#This Row],[  12-17]]</f>
        <v>1686.1831748778968</v>
      </c>
      <c r="F4" s="5">
        <f>Table34101112131814151623[[#This Row],[  18-24]]-Table3410112[[#This Row],[  18-24]]</f>
        <v>-7586.9023552143608</v>
      </c>
      <c r="G4" s="5">
        <f>Table34101112131814151623[[#This Row],[  25-29 ]]-Table3410112[[#This Row],[  25-29 ]]</f>
        <v>3802</v>
      </c>
      <c r="H4" s="5">
        <f>Table34101112131814151623[[#This Row],[  30-34]]-Table3410112[[#This Row],[  30-34]]</f>
        <v>2127</v>
      </c>
      <c r="I4" s="5">
        <f>Table34101112131814151623[[#This Row],[  35-39]]-Table3410112[[#This Row],[  35-39]]</f>
        <v>727</v>
      </c>
      <c r="J4" s="5">
        <f>Table34101112131814151623[[#This Row],[  40-44]]-Table3410112[[#This Row],[  40-44]]</f>
        <v>-748</v>
      </c>
      <c r="K4" s="5">
        <f>Table34101112131814151623[[#This Row],[  45-49 ]]-Table3410112[[#This Row],[  45-49 ]]</f>
        <v>294</v>
      </c>
      <c r="L4" s="5">
        <f>Table34101112131814151623[[#This Row],[  50-54]]-Table3410112[[#This Row],[  50-54]]</f>
        <v>-403</v>
      </c>
      <c r="M4" s="5">
        <f>Table34101112131814151623[[#This Row],[  55-59]]-Table3410112[[#This Row],[  55-59]]</f>
        <v>489</v>
      </c>
      <c r="N4" s="5">
        <f>Table34101112131814151623[[#This Row],[  60-64]]-Table3410112[[#This Row],[  60-64]]</f>
        <v>-177</v>
      </c>
      <c r="O4" s="5">
        <f>Table34101112131814151623[[#This Row],[  65-69]]-Table3410112[[#This Row],[  65-69]]</f>
        <v>-112</v>
      </c>
      <c r="P4" s="5">
        <f>Table34101112131814151623[[#This Row],[  70-74]]-Table3410112[[#This Row],[  70-74]]</f>
        <v>-129</v>
      </c>
      <c r="Q4" s="5">
        <f>Table34101112131814151623[[#This Row],[  75-79]]-Table3410112[[#This Row],[  75-79]]</f>
        <v>-486</v>
      </c>
      <c r="R4" s="5">
        <f>Table34101112131814151623[[#This Row],[  80-84]]-Table3410112[[#This Row],[  80-84]]</f>
        <v>-62</v>
      </c>
      <c r="S4" s="5">
        <f>Table34101112131814151623[[#This Row],[  85-89]]-Table3410112[[#This Row],[  85-89]]</f>
        <v>-51</v>
      </c>
      <c r="T4" s="5">
        <f>Table34101112131814151623[[#This Row],[  90+]]-Table3410112[[#This Row],[  90+]]</f>
        <v>184</v>
      </c>
    </row>
    <row r="5" spans="1:20" ht="15" x14ac:dyDescent="0.2">
      <c r="A5" s="8" t="s">
        <v>2</v>
      </c>
      <c r="B5" s="6" t="s">
        <v>22</v>
      </c>
      <c r="C5" s="5">
        <f>Table34101112131814151623[[#This Row],[Total]]-Table3410112[[#This Row],[Total]]</f>
        <v>23819</v>
      </c>
      <c r="D5" s="5">
        <f>Table34101112131814151623[[#This Row],[  5-11]]-Table3410112[[#This Row],[  5-11]]</f>
        <v>16925.790895274404</v>
      </c>
      <c r="E5" s="5">
        <f>Table34101112131814151623[[#This Row],[  12-17]]-Table3410112[[#This Row],[  12-17]]</f>
        <v>-1099.1862551518807</v>
      </c>
      <c r="F5" s="5">
        <f>Table34101112131814151623[[#This Row],[  18-24]]-Table3410112[[#This Row],[  18-24]]</f>
        <v>-3375.6046401225249</v>
      </c>
      <c r="G5" s="5">
        <f>Table34101112131814151623[[#This Row],[  25-29 ]]-Table3410112[[#This Row],[  25-29 ]]</f>
        <v>-77</v>
      </c>
      <c r="H5" s="5">
        <f>Table34101112131814151623[[#This Row],[  30-34]]-Table3410112[[#This Row],[  30-34]]</f>
        <v>-675</v>
      </c>
      <c r="I5" s="5">
        <f>Table34101112131814151623[[#This Row],[  35-39]]-Table3410112[[#This Row],[  35-39]]</f>
        <v>317</v>
      </c>
      <c r="J5" s="5">
        <f>Table34101112131814151623[[#This Row],[  40-44]]-Table3410112[[#This Row],[  40-44]]</f>
        <v>942</v>
      </c>
      <c r="K5" s="5">
        <f>Table34101112131814151623[[#This Row],[  45-49 ]]-Table3410112[[#This Row],[  45-49 ]]</f>
        <v>2001</v>
      </c>
      <c r="L5" s="5">
        <f>Table34101112131814151623[[#This Row],[  50-54]]-Table3410112[[#This Row],[  50-54]]</f>
        <v>1728</v>
      </c>
      <c r="M5" s="5">
        <f>Table34101112131814151623[[#This Row],[  55-59]]-Table3410112[[#This Row],[  55-59]]</f>
        <v>2216</v>
      </c>
      <c r="N5" s="5">
        <f>Table34101112131814151623[[#This Row],[  60-64]]-Table3410112[[#This Row],[  60-64]]</f>
        <v>1455</v>
      </c>
      <c r="O5" s="5">
        <f>Table34101112131814151623[[#This Row],[  65-69]]-Table3410112[[#This Row],[  65-69]]</f>
        <v>1414</v>
      </c>
      <c r="P5" s="5">
        <f>Table34101112131814151623[[#This Row],[  70-74]]-Table3410112[[#This Row],[  70-74]]</f>
        <v>1564</v>
      </c>
      <c r="Q5" s="5">
        <f>Table34101112131814151623[[#This Row],[  75-79]]-Table3410112[[#This Row],[  75-79]]</f>
        <v>9</v>
      </c>
      <c r="R5" s="5">
        <f>Table34101112131814151623[[#This Row],[  80-84]]-Table3410112[[#This Row],[  80-84]]</f>
        <v>19</v>
      </c>
      <c r="S5" s="5">
        <f>Table34101112131814151623[[#This Row],[  85-89]]-Table3410112[[#This Row],[  85-89]]</f>
        <v>164</v>
      </c>
      <c r="T5" s="5">
        <f>Table34101112131814151623[[#This Row],[  90+]]-Table3410112[[#This Row],[  90+]]</f>
        <v>291</v>
      </c>
    </row>
    <row r="6" spans="1:20" ht="15" x14ac:dyDescent="0.2">
      <c r="A6" s="8" t="s">
        <v>2</v>
      </c>
      <c r="B6" s="6" t="s">
        <v>0</v>
      </c>
      <c r="C6" s="5">
        <f>Table34101112131814151623[[#This Row],[Total]]-Table3410112[[#This Row],[Total]]</f>
        <v>10875</v>
      </c>
      <c r="D6" s="5">
        <f>Table34101112131814151623[[#This Row],[  5-11]]-Table3410112[[#This Row],[  5-11]]</f>
        <v>8850.7174770659603</v>
      </c>
      <c r="E6" s="5">
        <f>Table34101112131814151623[[#This Row],[  12-17]]-Table3410112[[#This Row],[  12-17]]</f>
        <v>-478.50898096376022</v>
      </c>
      <c r="F6" s="5">
        <f>Table34101112131814151623[[#This Row],[  18-24]]-Table3410112[[#This Row],[  18-24]]</f>
        <v>-2028.2084961022001</v>
      </c>
      <c r="G6" s="5">
        <f>Table34101112131814151623[[#This Row],[  25-29 ]]-Table3410112[[#This Row],[  25-29 ]]</f>
        <v>-47</v>
      </c>
      <c r="H6" s="5">
        <f>Table34101112131814151623[[#This Row],[  30-34]]-Table3410112[[#This Row],[  30-34]]</f>
        <v>-568</v>
      </c>
      <c r="I6" s="5">
        <f>Table34101112131814151623[[#This Row],[  35-39]]-Table3410112[[#This Row],[  35-39]]</f>
        <v>103</v>
      </c>
      <c r="J6" s="5">
        <f>Table34101112131814151623[[#This Row],[  40-44]]-Table3410112[[#This Row],[  40-44]]</f>
        <v>282</v>
      </c>
      <c r="K6" s="5">
        <f>Table34101112131814151623[[#This Row],[  45-49 ]]-Table3410112[[#This Row],[  45-49 ]]</f>
        <v>822</v>
      </c>
      <c r="L6" s="5">
        <f>Table34101112131814151623[[#This Row],[  50-54]]-Table3410112[[#This Row],[  50-54]]</f>
        <v>794</v>
      </c>
      <c r="M6" s="5">
        <f>Table34101112131814151623[[#This Row],[  55-59]]-Table3410112[[#This Row],[  55-59]]</f>
        <v>1075</v>
      </c>
      <c r="N6" s="5">
        <f>Table34101112131814151623[[#This Row],[  60-64]]-Table3410112[[#This Row],[  60-64]]</f>
        <v>554</v>
      </c>
      <c r="O6" s="5">
        <f>Table34101112131814151623[[#This Row],[  65-69]]-Table3410112[[#This Row],[  65-69]]</f>
        <v>598</v>
      </c>
      <c r="P6" s="5">
        <f>Table34101112131814151623[[#This Row],[  70-74]]-Table3410112[[#This Row],[  70-74]]</f>
        <v>799</v>
      </c>
      <c r="Q6" s="5">
        <f>Table34101112131814151623[[#This Row],[  75-79]]-Table3410112[[#This Row],[  75-79]]</f>
        <v>-67</v>
      </c>
      <c r="R6" s="5">
        <f>Table34101112131814151623[[#This Row],[  80-84]]-Table3410112[[#This Row],[  80-84]]</f>
        <v>45</v>
      </c>
      <c r="S6" s="5">
        <f>Table34101112131814151623[[#This Row],[  85-89]]-Table3410112[[#This Row],[  85-89]]</f>
        <v>29</v>
      </c>
      <c r="T6" s="5">
        <f>Table34101112131814151623[[#This Row],[  90+]]-Table3410112[[#This Row],[  90+]]</f>
        <v>112</v>
      </c>
    </row>
    <row r="7" spans="1:20" ht="15" x14ac:dyDescent="0.2">
      <c r="A7" s="8" t="s">
        <v>2</v>
      </c>
      <c r="B7" s="6" t="s">
        <v>23</v>
      </c>
      <c r="C7" s="5">
        <f>Table34101112131814151623[[#This Row],[Total]]-Table3410112[[#This Row],[Total]]</f>
        <v>12944</v>
      </c>
      <c r="D7" s="5">
        <f>Table34101112131814151623[[#This Row],[  5-11]]-Table3410112[[#This Row],[  5-11]]</f>
        <v>8073.9212080063717</v>
      </c>
      <c r="E7" s="5">
        <f>Table34101112131814151623[[#This Row],[  12-17]]-Table3410112[[#This Row],[  12-17]]</f>
        <v>-619.46878501756873</v>
      </c>
      <c r="F7" s="5">
        <f>Table34101112131814151623[[#This Row],[  18-24]]-Table3410112[[#This Row],[  18-24]]</f>
        <v>-1347.4524229888011</v>
      </c>
      <c r="G7" s="5">
        <f>Table34101112131814151623[[#This Row],[  25-29 ]]-Table3410112[[#This Row],[  25-29 ]]</f>
        <v>-30</v>
      </c>
      <c r="H7" s="5">
        <f>Table34101112131814151623[[#This Row],[  30-34]]-Table3410112[[#This Row],[  30-34]]</f>
        <v>-107</v>
      </c>
      <c r="I7" s="5">
        <f>Table34101112131814151623[[#This Row],[  35-39]]-Table3410112[[#This Row],[  35-39]]</f>
        <v>214</v>
      </c>
      <c r="J7" s="5">
        <f>Table34101112131814151623[[#This Row],[  40-44]]-Table3410112[[#This Row],[  40-44]]</f>
        <v>660</v>
      </c>
      <c r="K7" s="5">
        <f>Table34101112131814151623[[#This Row],[  45-49 ]]-Table3410112[[#This Row],[  45-49 ]]</f>
        <v>1179</v>
      </c>
      <c r="L7" s="5">
        <f>Table34101112131814151623[[#This Row],[  50-54]]-Table3410112[[#This Row],[  50-54]]</f>
        <v>934</v>
      </c>
      <c r="M7" s="5">
        <f>Table34101112131814151623[[#This Row],[  55-59]]-Table3410112[[#This Row],[  55-59]]</f>
        <v>1141</v>
      </c>
      <c r="N7" s="5">
        <f>Table34101112131814151623[[#This Row],[  60-64]]-Table3410112[[#This Row],[  60-64]]</f>
        <v>901</v>
      </c>
      <c r="O7" s="5">
        <f>Table34101112131814151623[[#This Row],[  65-69]]-Table3410112[[#This Row],[  65-69]]</f>
        <v>816</v>
      </c>
      <c r="P7" s="5">
        <f>Table34101112131814151623[[#This Row],[  70-74]]-Table3410112[[#This Row],[  70-74]]</f>
        <v>765</v>
      </c>
      <c r="Q7" s="5">
        <f>Table34101112131814151623[[#This Row],[  75-79]]-Table3410112[[#This Row],[  75-79]]</f>
        <v>76</v>
      </c>
      <c r="R7" s="5">
        <f>Table34101112131814151623[[#This Row],[  80-84]]-Table3410112[[#This Row],[  80-84]]</f>
        <v>-26</v>
      </c>
      <c r="S7" s="5">
        <f>Table34101112131814151623[[#This Row],[  85-89]]-Table3410112[[#This Row],[  85-89]]</f>
        <v>135</v>
      </c>
      <c r="T7" s="5">
        <f>Table34101112131814151623[[#This Row],[  90+]]-Table3410112[[#This Row],[  90+]]</f>
        <v>179</v>
      </c>
    </row>
    <row r="8" spans="1:20" x14ac:dyDescent="0.2">
      <c r="A8" s="9" t="s">
        <v>3</v>
      </c>
      <c r="B8" s="6" t="s">
        <v>22</v>
      </c>
      <c r="C8" s="5">
        <f>Table34101112131814151623[[#This Row],[Total]]-Table3410112[[#This Row],[Total]]</f>
        <v>40653</v>
      </c>
      <c r="D8" s="5">
        <f>Table34101112131814151623[[#This Row],[  5-11]]-Table3410112[[#This Row],[  5-11]]</f>
        <v>44095.268000787037</v>
      </c>
      <c r="E8" s="5">
        <f>Table34101112131814151623[[#This Row],[  12-17]]-Table3410112[[#This Row],[  12-17]]</f>
        <v>1185.768641917377</v>
      </c>
      <c r="F8" s="5">
        <f>Table34101112131814151623[[#This Row],[  18-24]]-Table3410112[[#This Row],[  18-24]]</f>
        <v>-14596.036642704417</v>
      </c>
      <c r="G8" s="5">
        <f>Table34101112131814151623[[#This Row],[  25-29 ]]-Table3410112[[#This Row],[  25-29 ]]</f>
        <v>1914</v>
      </c>
      <c r="H8" s="5">
        <f>Table34101112131814151623[[#This Row],[  30-34]]-Table3410112[[#This Row],[  30-34]]</f>
        <v>1129</v>
      </c>
      <c r="I8" s="5">
        <f>Table34101112131814151623[[#This Row],[  35-39]]-Table3410112[[#This Row],[  35-39]]</f>
        <v>919</v>
      </c>
      <c r="J8" s="5">
        <f>Table34101112131814151623[[#This Row],[  40-44]]-Table3410112[[#This Row],[  40-44]]</f>
        <v>1834</v>
      </c>
      <c r="K8" s="5">
        <f>Table34101112131814151623[[#This Row],[  45-49 ]]-Table3410112[[#This Row],[  45-49 ]]</f>
        <v>3375</v>
      </c>
      <c r="L8" s="5">
        <f>Table34101112131814151623[[#This Row],[  50-54]]-Table3410112[[#This Row],[  50-54]]</f>
        <v>1254</v>
      </c>
      <c r="M8" s="5">
        <f>Table34101112131814151623[[#This Row],[  55-59]]-Table3410112[[#This Row],[  55-59]]</f>
        <v>1808</v>
      </c>
      <c r="N8" s="5">
        <f>Table34101112131814151623[[#This Row],[  60-64]]-Table3410112[[#This Row],[  60-64]]</f>
        <v>252</v>
      </c>
      <c r="O8" s="5">
        <f>Table34101112131814151623[[#This Row],[  65-69]]-Table3410112[[#This Row],[  65-69]]</f>
        <v>-262</v>
      </c>
      <c r="P8" s="5">
        <f>Table34101112131814151623[[#This Row],[  70-74]]-Table3410112[[#This Row],[  70-74]]</f>
        <v>-27</v>
      </c>
      <c r="Q8" s="5">
        <f>Table34101112131814151623[[#This Row],[  75-79]]-Table3410112[[#This Row],[  75-79]]</f>
        <v>-1722</v>
      </c>
      <c r="R8" s="5">
        <f>Table34101112131814151623[[#This Row],[  80-84]]-Table3410112[[#This Row],[  80-84]]</f>
        <v>-597</v>
      </c>
      <c r="S8" s="5">
        <f>Table34101112131814151623[[#This Row],[  85-89]]-Table3410112[[#This Row],[  85-89]]</f>
        <v>-51</v>
      </c>
      <c r="T8" s="5">
        <f>Table34101112131814151623[[#This Row],[  90+]]-Table3410112[[#This Row],[  90+]]</f>
        <v>142</v>
      </c>
    </row>
    <row r="9" spans="1:20" x14ac:dyDescent="0.2">
      <c r="A9" s="9" t="s">
        <v>3</v>
      </c>
      <c r="B9" s="6" t="s">
        <v>0</v>
      </c>
      <c r="C9" s="5">
        <f>Table34101112131814151623[[#This Row],[Total]]-Table3410112[[#This Row],[Total]]</f>
        <v>22969</v>
      </c>
      <c r="D9" s="5">
        <f>Table34101112131814151623[[#This Row],[  5-11]]-Table3410112[[#This Row],[  5-11]]</f>
        <v>23240.772613368968</v>
      </c>
      <c r="E9" s="5">
        <f>Table34101112131814151623[[#This Row],[  12-17]]-Table3410112[[#This Row],[  12-17]]</f>
        <v>977.73780979482035</v>
      </c>
      <c r="F9" s="5">
        <f>Table34101112131814151623[[#This Row],[  18-24]]-Table3410112[[#This Row],[  18-24]]</f>
        <v>-7580.5104231637833</v>
      </c>
      <c r="G9" s="5">
        <f>Table34101112131814151623[[#This Row],[  25-29 ]]-Table3410112[[#This Row],[  25-29 ]]</f>
        <v>1801</v>
      </c>
      <c r="H9" s="5">
        <f>Table34101112131814151623[[#This Row],[  30-34]]-Table3410112[[#This Row],[  30-34]]</f>
        <v>1028</v>
      </c>
      <c r="I9" s="5">
        <f>Table34101112131814151623[[#This Row],[  35-39]]-Table3410112[[#This Row],[  35-39]]</f>
        <v>663</v>
      </c>
      <c r="J9" s="5">
        <f>Table34101112131814151623[[#This Row],[  40-44]]-Table3410112[[#This Row],[  40-44]]</f>
        <v>1007</v>
      </c>
      <c r="K9" s="5">
        <f>Table34101112131814151623[[#This Row],[  45-49 ]]-Table3410112[[#This Row],[  45-49 ]]</f>
        <v>1737</v>
      </c>
      <c r="L9" s="5">
        <f>Table34101112131814151623[[#This Row],[  50-54]]-Table3410112[[#This Row],[  50-54]]</f>
        <v>851</v>
      </c>
      <c r="M9" s="5">
        <f>Table34101112131814151623[[#This Row],[  55-59]]-Table3410112[[#This Row],[  55-59]]</f>
        <v>788</v>
      </c>
      <c r="N9" s="5">
        <f>Table34101112131814151623[[#This Row],[  60-64]]-Table3410112[[#This Row],[  60-64]]</f>
        <v>61</v>
      </c>
      <c r="O9" s="5">
        <f>Table34101112131814151623[[#This Row],[  65-69]]-Table3410112[[#This Row],[  65-69]]</f>
        <v>-153</v>
      </c>
      <c r="P9" s="5">
        <f>Table34101112131814151623[[#This Row],[  70-74]]-Table3410112[[#This Row],[  70-74]]</f>
        <v>-182</v>
      </c>
      <c r="Q9" s="5">
        <f>Table34101112131814151623[[#This Row],[  75-79]]-Table3410112[[#This Row],[  75-79]]</f>
        <v>-835</v>
      </c>
      <c r="R9" s="5">
        <f>Table34101112131814151623[[#This Row],[  80-84]]-Table3410112[[#This Row],[  80-84]]</f>
        <v>-368</v>
      </c>
      <c r="S9" s="5">
        <f>Table34101112131814151623[[#This Row],[  85-89]]-Table3410112[[#This Row],[  85-89]]</f>
        <v>-67</v>
      </c>
      <c r="T9" s="5">
        <f>Table34101112131814151623[[#This Row],[  90+]]-Table3410112[[#This Row],[  90+]]</f>
        <v>0</v>
      </c>
    </row>
    <row r="10" spans="1:20" x14ac:dyDescent="0.2">
      <c r="A10" s="9" t="s">
        <v>3</v>
      </c>
      <c r="B10" s="6" t="s">
        <v>23</v>
      </c>
      <c r="C10" s="5">
        <f>Table34101112131814151623[[#This Row],[Total]]-Table3410112[[#This Row],[Total]]</f>
        <v>17684</v>
      </c>
      <c r="D10" s="5">
        <f>Table34101112131814151623[[#This Row],[  5-11]]-Table3410112[[#This Row],[  5-11]]</f>
        <v>20852.280159384994</v>
      </c>
      <c r="E10" s="5">
        <f>Table34101112131814151623[[#This Row],[  12-17]]-Table3410112[[#This Row],[  12-17]]</f>
        <v>210.69797189914061</v>
      </c>
      <c r="F10" s="5">
        <f>Table34101112131814151623[[#This Row],[  18-24]]-Table3410112[[#This Row],[  18-24]]</f>
        <v>-7015.9781312841369</v>
      </c>
      <c r="G10" s="5">
        <f>Table34101112131814151623[[#This Row],[  25-29 ]]-Table3410112[[#This Row],[  25-29 ]]</f>
        <v>113</v>
      </c>
      <c r="H10" s="5">
        <f>Table34101112131814151623[[#This Row],[  30-34]]-Table3410112[[#This Row],[  30-34]]</f>
        <v>101</v>
      </c>
      <c r="I10" s="5">
        <f>Table34101112131814151623[[#This Row],[  35-39]]-Table3410112[[#This Row],[  35-39]]</f>
        <v>256</v>
      </c>
      <c r="J10" s="5">
        <f>Table34101112131814151623[[#This Row],[  40-44]]-Table3410112[[#This Row],[  40-44]]</f>
        <v>827</v>
      </c>
      <c r="K10" s="5">
        <f>Table34101112131814151623[[#This Row],[  45-49 ]]-Table3410112[[#This Row],[  45-49 ]]</f>
        <v>1638</v>
      </c>
      <c r="L10" s="5">
        <f>Table34101112131814151623[[#This Row],[  50-54]]-Table3410112[[#This Row],[  50-54]]</f>
        <v>403</v>
      </c>
      <c r="M10" s="5">
        <f>Table34101112131814151623[[#This Row],[  55-59]]-Table3410112[[#This Row],[  55-59]]</f>
        <v>1020</v>
      </c>
      <c r="N10" s="5">
        <f>Table34101112131814151623[[#This Row],[  60-64]]-Table3410112[[#This Row],[  60-64]]</f>
        <v>191</v>
      </c>
      <c r="O10" s="5">
        <f>Table34101112131814151623[[#This Row],[  65-69]]-Table3410112[[#This Row],[  65-69]]</f>
        <v>-109</v>
      </c>
      <c r="P10" s="5">
        <f>Table34101112131814151623[[#This Row],[  70-74]]-Table3410112[[#This Row],[  70-74]]</f>
        <v>155</v>
      </c>
      <c r="Q10" s="5">
        <f>Table34101112131814151623[[#This Row],[  75-79]]-Table3410112[[#This Row],[  75-79]]</f>
        <v>-887</v>
      </c>
      <c r="R10" s="5">
        <f>Table34101112131814151623[[#This Row],[  80-84]]-Table3410112[[#This Row],[  80-84]]</f>
        <v>-229</v>
      </c>
      <c r="S10" s="5">
        <f>Table34101112131814151623[[#This Row],[  85-89]]-Table3410112[[#This Row],[  85-89]]</f>
        <v>16</v>
      </c>
      <c r="T10" s="5">
        <f>Table34101112131814151623[[#This Row],[  90+]]-Table3410112[[#This Row],[  90+]]</f>
        <v>142</v>
      </c>
    </row>
    <row r="11" spans="1:20" x14ac:dyDescent="0.2">
      <c r="A11" s="9" t="s">
        <v>4</v>
      </c>
      <c r="B11" s="6" t="s">
        <v>22</v>
      </c>
      <c r="C11" s="5">
        <f>Table34101112131814151623[[#This Row],[Total]]-Table3410112[[#This Row],[Total]]</f>
        <v>24746</v>
      </c>
      <c r="D11" s="5">
        <f>Table34101112131814151623[[#This Row],[  5-11]]-Table3410112[[#This Row],[  5-11]]</f>
        <v>24730.393889250096</v>
      </c>
      <c r="E11" s="5">
        <f>Table34101112131814151623[[#This Row],[  12-17]]-Table3410112[[#This Row],[  12-17]]</f>
        <v>2134.1925885131022</v>
      </c>
      <c r="F11" s="5">
        <f>Table34101112131814151623[[#This Row],[  18-24]]-Table3410112[[#This Row],[  18-24]]</f>
        <v>-9573.5864777631978</v>
      </c>
      <c r="G11" s="5">
        <f>Table34101112131814151623[[#This Row],[  25-29 ]]-Table3410112[[#This Row],[  25-29 ]]</f>
        <v>1229</v>
      </c>
      <c r="H11" s="5">
        <f>Table34101112131814151623[[#This Row],[  30-34]]-Table3410112[[#This Row],[  30-34]]</f>
        <v>-144</v>
      </c>
      <c r="I11" s="5">
        <f>Table34101112131814151623[[#This Row],[  35-39]]-Table3410112[[#This Row],[  35-39]]</f>
        <v>874</v>
      </c>
      <c r="J11" s="5">
        <f>Table34101112131814151623[[#This Row],[  40-44]]-Table3410112[[#This Row],[  40-44]]</f>
        <v>650</v>
      </c>
      <c r="K11" s="5">
        <f>Table34101112131814151623[[#This Row],[  45-49 ]]-Table3410112[[#This Row],[  45-49 ]]</f>
        <v>1576</v>
      </c>
      <c r="L11" s="5">
        <f>Table34101112131814151623[[#This Row],[  50-54]]-Table3410112[[#This Row],[  50-54]]</f>
        <v>725</v>
      </c>
      <c r="M11" s="5">
        <f>Table34101112131814151623[[#This Row],[  55-59]]-Table3410112[[#This Row],[  55-59]]</f>
        <v>941</v>
      </c>
      <c r="N11" s="5">
        <f>Table34101112131814151623[[#This Row],[  60-64]]-Table3410112[[#This Row],[  60-64]]</f>
        <v>194</v>
      </c>
      <c r="O11" s="5">
        <f>Table34101112131814151623[[#This Row],[  65-69]]-Table3410112[[#This Row],[  65-69]]</f>
        <v>942</v>
      </c>
      <c r="P11" s="5">
        <f>Table34101112131814151623[[#This Row],[  70-74]]-Table3410112[[#This Row],[  70-74]]</f>
        <v>581</v>
      </c>
      <c r="Q11" s="5">
        <f>Table34101112131814151623[[#This Row],[  75-79]]-Table3410112[[#This Row],[  75-79]]</f>
        <v>-303</v>
      </c>
      <c r="R11" s="5">
        <f>Table34101112131814151623[[#This Row],[  80-84]]-Table3410112[[#This Row],[  80-84]]</f>
        <v>-89</v>
      </c>
      <c r="S11" s="5">
        <f>Table34101112131814151623[[#This Row],[  85-89]]-Table3410112[[#This Row],[  85-89]]</f>
        <v>199</v>
      </c>
      <c r="T11" s="5">
        <f>Table34101112131814151623[[#This Row],[  90+]]-Table3410112[[#This Row],[  90+]]</f>
        <v>80</v>
      </c>
    </row>
    <row r="12" spans="1:20" x14ac:dyDescent="0.2">
      <c r="A12" s="9" t="s">
        <v>4</v>
      </c>
      <c r="B12" s="6" t="s">
        <v>0</v>
      </c>
      <c r="C12" s="5">
        <f>Table34101112131814151623[[#This Row],[Total]]-Table3410112[[#This Row],[Total]]</f>
        <v>12052</v>
      </c>
      <c r="D12" s="5">
        <f>Table34101112131814151623[[#This Row],[  5-11]]-Table3410112[[#This Row],[  5-11]]</f>
        <v>12082.779589648166</v>
      </c>
      <c r="E12" s="5">
        <f>Table34101112131814151623[[#This Row],[  12-17]]-Table3410112[[#This Row],[  12-17]]</f>
        <v>831.92986957387984</v>
      </c>
      <c r="F12" s="5">
        <f>Table34101112131814151623[[#This Row],[  18-24]]-Table3410112[[#This Row],[  18-24]]</f>
        <v>-4188.7094592220492</v>
      </c>
      <c r="G12" s="5">
        <f>Table34101112131814151623[[#This Row],[  25-29 ]]-Table3410112[[#This Row],[  25-29 ]]</f>
        <v>692</v>
      </c>
      <c r="H12" s="5">
        <f>Table34101112131814151623[[#This Row],[  30-34]]-Table3410112[[#This Row],[  30-34]]</f>
        <v>-131</v>
      </c>
      <c r="I12" s="5">
        <f>Table34101112131814151623[[#This Row],[  35-39]]-Table3410112[[#This Row],[  35-39]]</f>
        <v>483</v>
      </c>
      <c r="J12" s="5">
        <f>Table34101112131814151623[[#This Row],[  40-44]]-Table3410112[[#This Row],[  40-44]]</f>
        <v>411</v>
      </c>
      <c r="K12" s="5">
        <f>Table34101112131814151623[[#This Row],[  45-49 ]]-Table3410112[[#This Row],[  45-49 ]]</f>
        <v>699</v>
      </c>
      <c r="L12" s="5">
        <f>Table34101112131814151623[[#This Row],[  50-54]]-Table3410112[[#This Row],[  50-54]]</f>
        <v>326</v>
      </c>
      <c r="M12" s="5">
        <f>Table34101112131814151623[[#This Row],[  55-59]]-Table3410112[[#This Row],[  55-59]]</f>
        <v>448</v>
      </c>
      <c r="N12" s="5">
        <f>Table34101112131814151623[[#This Row],[  60-64]]-Table3410112[[#This Row],[  60-64]]</f>
        <v>-22</v>
      </c>
      <c r="O12" s="5">
        <f>Table34101112131814151623[[#This Row],[  65-69]]-Table3410112[[#This Row],[  65-69]]</f>
        <v>381</v>
      </c>
      <c r="P12" s="5">
        <f>Table34101112131814151623[[#This Row],[  70-74]]-Table3410112[[#This Row],[  70-74]]</f>
        <v>328</v>
      </c>
      <c r="Q12" s="5">
        <f>Table34101112131814151623[[#This Row],[  75-79]]-Table3410112[[#This Row],[  75-79]]</f>
        <v>-223</v>
      </c>
      <c r="R12" s="5">
        <f>Table34101112131814151623[[#This Row],[  80-84]]-Table3410112[[#This Row],[  80-84]]</f>
        <v>-105</v>
      </c>
      <c r="S12" s="5">
        <f>Table34101112131814151623[[#This Row],[  85-89]]-Table3410112[[#This Row],[  85-89]]</f>
        <v>70</v>
      </c>
      <c r="T12" s="5">
        <f>Table34101112131814151623[[#This Row],[  90+]]-Table3410112[[#This Row],[  90+]]</f>
        <v>-31</v>
      </c>
    </row>
    <row r="13" spans="1:20" x14ac:dyDescent="0.2">
      <c r="A13" s="9" t="s">
        <v>4</v>
      </c>
      <c r="B13" s="6" t="s">
        <v>23</v>
      </c>
      <c r="C13" s="5">
        <f>Table34101112131814151623[[#This Row],[Total]]-Table3410112[[#This Row],[Total]]</f>
        <v>12694</v>
      </c>
      <c r="D13" s="5">
        <f>Table34101112131814151623[[#This Row],[  5-11]]-Table3410112[[#This Row],[  5-11]]</f>
        <v>12647.954842736362</v>
      </c>
      <c r="E13" s="5">
        <f>Table34101112131814151623[[#This Row],[  12-17]]-Table3410112[[#This Row],[  12-17]]</f>
        <v>1301.6210378486558</v>
      </c>
      <c r="F13" s="5">
        <f>Table34101112131814151623[[#This Row],[  18-24]]-Table3410112[[#This Row],[  18-24]]</f>
        <v>-5384.5758805850164</v>
      </c>
      <c r="G13" s="5">
        <f>Table34101112131814151623[[#This Row],[  25-29 ]]-Table3410112[[#This Row],[  25-29 ]]</f>
        <v>537</v>
      </c>
      <c r="H13" s="5">
        <f>Table34101112131814151623[[#This Row],[  30-34]]-Table3410112[[#This Row],[  30-34]]</f>
        <v>-13</v>
      </c>
      <c r="I13" s="5">
        <f>Table34101112131814151623[[#This Row],[  35-39]]-Table3410112[[#This Row],[  35-39]]</f>
        <v>391</v>
      </c>
      <c r="J13" s="5">
        <f>Table34101112131814151623[[#This Row],[  40-44]]-Table3410112[[#This Row],[  40-44]]</f>
        <v>239</v>
      </c>
      <c r="K13" s="5">
        <f>Table34101112131814151623[[#This Row],[  45-49 ]]-Table3410112[[#This Row],[  45-49 ]]</f>
        <v>877</v>
      </c>
      <c r="L13" s="5">
        <f>Table34101112131814151623[[#This Row],[  50-54]]-Table3410112[[#This Row],[  50-54]]</f>
        <v>399</v>
      </c>
      <c r="M13" s="5">
        <f>Table34101112131814151623[[#This Row],[  55-59]]-Table3410112[[#This Row],[  55-59]]</f>
        <v>493</v>
      </c>
      <c r="N13" s="5">
        <f>Table34101112131814151623[[#This Row],[  60-64]]-Table3410112[[#This Row],[  60-64]]</f>
        <v>216</v>
      </c>
      <c r="O13" s="5">
        <f>Table34101112131814151623[[#This Row],[  65-69]]-Table3410112[[#This Row],[  65-69]]</f>
        <v>561</v>
      </c>
      <c r="P13" s="5">
        <f>Table34101112131814151623[[#This Row],[  70-74]]-Table3410112[[#This Row],[  70-74]]</f>
        <v>253</v>
      </c>
      <c r="Q13" s="5">
        <f>Table34101112131814151623[[#This Row],[  75-79]]-Table3410112[[#This Row],[  75-79]]</f>
        <v>-80</v>
      </c>
      <c r="R13" s="5">
        <f>Table34101112131814151623[[#This Row],[  80-84]]-Table3410112[[#This Row],[  80-84]]</f>
        <v>16</v>
      </c>
      <c r="S13" s="5">
        <f>Table34101112131814151623[[#This Row],[  85-89]]-Table3410112[[#This Row],[  85-89]]</f>
        <v>129</v>
      </c>
      <c r="T13" s="5">
        <f>Table34101112131814151623[[#This Row],[  90+]]-Table3410112[[#This Row],[  90+]]</f>
        <v>111</v>
      </c>
    </row>
    <row r="14" spans="1:20" x14ac:dyDescent="0.2">
      <c r="A14" s="9" t="s">
        <v>5</v>
      </c>
      <c r="B14" s="6" t="s">
        <v>22</v>
      </c>
      <c r="C14" s="5">
        <f>Table34101112131814151623[[#This Row],[Total]]-Table3410112[[#This Row],[Total]]</f>
        <v>48668</v>
      </c>
      <c r="D14" s="5">
        <f>Table34101112131814151623[[#This Row],[  5-11]]-Table3410112[[#This Row],[  5-11]]</f>
        <v>49017.030849131435</v>
      </c>
      <c r="E14" s="5">
        <f>Table34101112131814151623[[#This Row],[  12-17]]-Table3410112[[#This Row],[  12-17]]</f>
        <v>-36.038891831136425</v>
      </c>
      <c r="F14" s="5">
        <f>Table34101112131814151623[[#This Row],[  18-24]]-Table3410112[[#This Row],[  18-24]]</f>
        <v>-11855.991957300306</v>
      </c>
      <c r="G14" s="5">
        <f>Table34101112131814151623[[#This Row],[  25-29 ]]-Table3410112[[#This Row],[  25-29 ]]</f>
        <v>3629</v>
      </c>
      <c r="H14" s="5">
        <f>Table34101112131814151623[[#This Row],[  30-34]]-Table3410112[[#This Row],[  30-34]]</f>
        <v>-361</v>
      </c>
      <c r="I14" s="5">
        <f>Table34101112131814151623[[#This Row],[  35-39]]-Table3410112[[#This Row],[  35-39]]</f>
        <v>184</v>
      </c>
      <c r="J14" s="5">
        <f>Table34101112131814151623[[#This Row],[  40-44]]-Table3410112[[#This Row],[  40-44]]</f>
        <v>-660</v>
      </c>
      <c r="K14" s="5">
        <f>Table34101112131814151623[[#This Row],[  45-49 ]]-Table3410112[[#This Row],[  45-49 ]]</f>
        <v>2349</v>
      </c>
      <c r="L14" s="5">
        <f>Table34101112131814151623[[#This Row],[  50-54]]-Table3410112[[#This Row],[  50-54]]</f>
        <v>1933</v>
      </c>
      <c r="M14" s="5">
        <f>Table34101112131814151623[[#This Row],[  55-59]]-Table3410112[[#This Row],[  55-59]]</f>
        <v>2588</v>
      </c>
      <c r="N14" s="5">
        <f>Table34101112131814151623[[#This Row],[  60-64]]-Table3410112[[#This Row],[  60-64]]</f>
        <v>885</v>
      </c>
      <c r="O14" s="5">
        <f>Table34101112131814151623[[#This Row],[  65-69]]-Table3410112[[#This Row],[  65-69]]</f>
        <v>620</v>
      </c>
      <c r="P14" s="5">
        <f>Table34101112131814151623[[#This Row],[  70-74]]-Table3410112[[#This Row],[  70-74]]</f>
        <v>437</v>
      </c>
      <c r="Q14" s="5">
        <f>Table34101112131814151623[[#This Row],[  75-79]]-Table3410112[[#This Row],[  75-79]]</f>
        <v>-183</v>
      </c>
      <c r="R14" s="5">
        <f>Table34101112131814151623[[#This Row],[  80-84]]-Table3410112[[#This Row],[  80-84]]</f>
        <v>-11</v>
      </c>
      <c r="S14" s="5">
        <f>Table34101112131814151623[[#This Row],[  85-89]]-Table3410112[[#This Row],[  85-89]]</f>
        <v>-81</v>
      </c>
      <c r="T14" s="5">
        <f>Table34101112131814151623[[#This Row],[  90+]]-Table3410112[[#This Row],[  90+]]</f>
        <v>214</v>
      </c>
    </row>
    <row r="15" spans="1:20" x14ac:dyDescent="0.2">
      <c r="A15" s="9" t="s">
        <v>5</v>
      </c>
      <c r="B15" s="6" t="s">
        <v>0</v>
      </c>
      <c r="C15" s="5">
        <f>Table34101112131814151623[[#This Row],[Total]]-Table3410112[[#This Row],[Total]]</f>
        <v>24526</v>
      </c>
      <c r="D15" s="5">
        <f>Table34101112131814151623[[#This Row],[  5-11]]-Table3410112[[#This Row],[  5-11]]</f>
        <v>25644.224447165296</v>
      </c>
      <c r="E15" s="5">
        <f>Table34101112131814151623[[#This Row],[  12-17]]-Table3410112[[#This Row],[  12-17]]</f>
        <v>302.77713908495207</v>
      </c>
      <c r="F15" s="5">
        <f>Table34101112131814151623[[#This Row],[  18-24]]-Table3410112[[#This Row],[  18-24]]</f>
        <v>-6144.0015862502441</v>
      </c>
      <c r="G15" s="5">
        <f>Table34101112131814151623[[#This Row],[  25-29 ]]-Table3410112[[#This Row],[  25-29 ]]</f>
        <v>1992</v>
      </c>
      <c r="H15" s="5">
        <f>Table34101112131814151623[[#This Row],[  30-34]]-Table3410112[[#This Row],[  30-34]]</f>
        <v>-331</v>
      </c>
      <c r="I15" s="5">
        <f>Table34101112131814151623[[#This Row],[  35-39]]-Table3410112[[#This Row],[  35-39]]</f>
        <v>-270</v>
      </c>
      <c r="J15" s="5">
        <f>Table34101112131814151623[[#This Row],[  40-44]]-Table3410112[[#This Row],[  40-44]]</f>
        <v>-470</v>
      </c>
      <c r="K15" s="5">
        <f>Table34101112131814151623[[#This Row],[  45-49 ]]-Table3410112[[#This Row],[  45-49 ]]</f>
        <v>1129</v>
      </c>
      <c r="L15" s="5">
        <f>Table34101112131814151623[[#This Row],[  50-54]]-Table3410112[[#This Row],[  50-54]]</f>
        <v>852</v>
      </c>
      <c r="M15" s="5">
        <f>Table34101112131814151623[[#This Row],[  55-59]]-Table3410112[[#This Row],[  55-59]]</f>
        <v>1160</v>
      </c>
      <c r="N15" s="5">
        <f>Table34101112131814151623[[#This Row],[  60-64]]-Table3410112[[#This Row],[  60-64]]</f>
        <v>309</v>
      </c>
      <c r="O15" s="5">
        <f>Table34101112131814151623[[#This Row],[  65-69]]-Table3410112[[#This Row],[  65-69]]</f>
        <v>255</v>
      </c>
      <c r="P15" s="5">
        <f>Table34101112131814151623[[#This Row],[  70-74]]-Table3410112[[#This Row],[  70-74]]</f>
        <v>228</v>
      </c>
      <c r="Q15" s="5">
        <f>Table34101112131814151623[[#This Row],[  75-79]]-Table3410112[[#This Row],[  75-79]]</f>
        <v>-101</v>
      </c>
      <c r="R15" s="5">
        <f>Table34101112131814151623[[#This Row],[  80-84]]-Table3410112[[#This Row],[  80-84]]</f>
        <v>-1</v>
      </c>
      <c r="S15" s="5">
        <f>Table34101112131814151623[[#This Row],[  85-89]]-Table3410112[[#This Row],[  85-89]]</f>
        <v>-116</v>
      </c>
      <c r="T15" s="5">
        <f>Table34101112131814151623[[#This Row],[  90+]]-Table3410112[[#This Row],[  90+]]</f>
        <v>87</v>
      </c>
    </row>
    <row r="16" spans="1:20" x14ac:dyDescent="0.2">
      <c r="A16" s="9" t="s">
        <v>5</v>
      </c>
      <c r="B16" s="6" t="s">
        <v>23</v>
      </c>
      <c r="C16" s="5">
        <f>Table34101112131814151623[[#This Row],[Total]]-Table3410112[[#This Row],[Total]]</f>
        <v>24142</v>
      </c>
      <c r="D16" s="5">
        <f>Table34101112131814151623[[#This Row],[  5-11]]-Table3410112[[#This Row],[  5-11]]</f>
        <v>23370.410789792943</v>
      </c>
      <c r="E16" s="5">
        <f>Table34101112131814151623[[#This Row],[  12-17]]-Table3410112[[#This Row],[  12-17]]</f>
        <v>-336.13922786886542</v>
      </c>
      <c r="F16" s="5">
        <f>Table34101112131814151623[[#This Row],[  18-24]]-Table3410112[[#This Row],[  18-24]]</f>
        <v>-5712.2715619240771</v>
      </c>
      <c r="G16" s="5">
        <f>Table34101112131814151623[[#This Row],[  25-29 ]]-Table3410112[[#This Row],[  25-29 ]]</f>
        <v>1637</v>
      </c>
      <c r="H16" s="5">
        <f>Table34101112131814151623[[#This Row],[  30-34]]-Table3410112[[#This Row],[  30-34]]</f>
        <v>-30</v>
      </c>
      <c r="I16" s="5">
        <f>Table34101112131814151623[[#This Row],[  35-39]]-Table3410112[[#This Row],[  35-39]]</f>
        <v>454</v>
      </c>
      <c r="J16" s="5">
        <f>Table34101112131814151623[[#This Row],[  40-44]]-Table3410112[[#This Row],[  40-44]]</f>
        <v>-190</v>
      </c>
      <c r="K16" s="5">
        <f>Table34101112131814151623[[#This Row],[  45-49 ]]-Table3410112[[#This Row],[  45-49 ]]</f>
        <v>1220</v>
      </c>
      <c r="L16" s="5">
        <f>Table34101112131814151623[[#This Row],[  50-54]]-Table3410112[[#This Row],[  50-54]]</f>
        <v>1081</v>
      </c>
      <c r="M16" s="5">
        <f>Table34101112131814151623[[#This Row],[  55-59]]-Table3410112[[#This Row],[  55-59]]</f>
        <v>1428</v>
      </c>
      <c r="N16" s="5">
        <f>Table34101112131814151623[[#This Row],[  60-64]]-Table3410112[[#This Row],[  60-64]]</f>
        <v>576</v>
      </c>
      <c r="O16" s="5">
        <f>Table34101112131814151623[[#This Row],[  65-69]]-Table3410112[[#This Row],[  65-69]]</f>
        <v>365</v>
      </c>
      <c r="P16" s="5">
        <f>Table34101112131814151623[[#This Row],[  70-74]]-Table3410112[[#This Row],[  70-74]]</f>
        <v>209</v>
      </c>
      <c r="Q16" s="5">
        <f>Table34101112131814151623[[#This Row],[  75-79]]-Table3410112[[#This Row],[  75-79]]</f>
        <v>-82</v>
      </c>
      <c r="R16" s="5">
        <f>Table34101112131814151623[[#This Row],[  80-84]]-Table3410112[[#This Row],[  80-84]]</f>
        <v>-10</v>
      </c>
      <c r="S16" s="5">
        <f>Table34101112131814151623[[#This Row],[  85-89]]-Table3410112[[#This Row],[  85-89]]</f>
        <v>35</v>
      </c>
      <c r="T16" s="5">
        <f>Table34101112131814151623[[#This Row],[  90+]]-Table3410112[[#This Row],[  90+]]</f>
        <v>127</v>
      </c>
    </row>
    <row r="17" spans="1:20" x14ac:dyDescent="0.2">
      <c r="A17" s="12" t="s">
        <v>6</v>
      </c>
      <c r="B17" s="6" t="s">
        <v>22</v>
      </c>
      <c r="C17" s="5">
        <f>Table34101112131814151623[[#This Row],[Total]]-Table3410112[[#This Row],[Total]]</f>
        <v>12147</v>
      </c>
      <c r="D17" s="5">
        <f>Table34101112131814151623[[#This Row],[  5-11]]-Table3410112[[#This Row],[  5-11]]</f>
        <v>11500.401377281774</v>
      </c>
      <c r="E17" s="5">
        <f>Table34101112131814151623[[#This Row],[  12-17]]-Table3410112[[#This Row],[  12-17]]</f>
        <v>-1095.8524524674212</v>
      </c>
      <c r="F17" s="5">
        <f>Table34101112131814151623[[#This Row],[  18-24]]-Table3410112[[#This Row],[  18-24]]</f>
        <v>-2655.5489248143549</v>
      </c>
      <c r="G17" s="5">
        <f>Table34101112131814151623[[#This Row],[  25-29 ]]-Table3410112[[#This Row],[  25-29 ]]</f>
        <v>-405</v>
      </c>
      <c r="H17" s="5">
        <f>Table34101112131814151623[[#This Row],[  30-34]]-Table3410112[[#This Row],[  30-34]]</f>
        <v>-807</v>
      </c>
      <c r="I17" s="5">
        <f>Table34101112131814151623[[#This Row],[  35-39]]-Table3410112[[#This Row],[  35-39]]</f>
        <v>-236</v>
      </c>
      <c r="J17" s="5">
        <f>Table34101112131814151623[[#This Row],[  40-44]]-Table3410112[[#This Row],[  40-44]]</f>
        <v>243</v>
      </c>
      <c r="K17" s="5">
        <f>Table34101112131814151623[[#This Row],[  45-49 ]]-Table3410112[[#This Row],[  45-49 ]]</f>
        <v>1121</v>
      </c>
      <c r="L17" s="5">
        <f>Table34101112131814151623[[#This Row],[  50-54]]-Table3410112[[#This Row],[  50-54]]</f>
        <v>891</v>
      </c>
      <c r="M17" s="5">
        <f>Table34101112131814151623[[#This Row],[  55-59]]-Table3410112[[#This Row],[  55-59]]</f>
        <v>1207</v>
      </c>
      <c r="N17" s="5">
        <f>Table34101112131814151623[[#This Row],[  60-64]]-Table3410112[[#This Row],[  60-64]]</f>
        <v>518</v>
      </c>
      <c r="O17" s="5">
        <f>Table34101112131814151623[[#This Row],[  65-69]]-Table3410112[[#This Row],[  65-69]]</f>
        <v>792</v>
      </c>
      <c r="P17" s="5">
        <f>Table34101112131814151623[[#This Row],[  70-74]]-Table3410112[[#This Row],[  70-74]]</f>
        <v>844</v>
      </c>
      <c r="Q17" s="5">
        <f>Table34101112131814151623[[#This Row],[  75-79]]-Table3410112[[#This Row],[  75-79]]</f>
        <v>-19</v>
      </c>
      <c r="R17" s="5">
        <f>Table34101112131814151623[[#This Row],[  80-84]]-Table3410112[[#This Row],[  80-84]]</f>
        <v>12</v>
      </c>
      <c r="S17" s="5">
        <f>Table34101112131814151623[[#This Row],[  85-89]]-Table3410112[[#This Row],[  85-89]]</f>
        <v>130</v>
      </c>
      <c r="T17" s="5">
        <f>Table34101112131814151623[[#This Row],[  90+]]-Table3410112[[#This Row],[  90+]]</f>
        <v>107</v>
      </c>
    </row>
    <row r="18" spans="1:20" x14ac:dyDescent="0.2">
      <c r="A18" s="9" t="s">
        <v>6</v>
      </c>
      <c r="B18" s="6" t="s">
        <v>0</v>
      </c>
      <c r="C18" s="5">
        <f>Table34101112131814151623[[#This Row],[Total]]-Table3410112[[#This Row],[Total]]</f>
        <v>4414</v>
      </c>
      <c r="D18" s="5">
        <f>Table34101112131814151623[[#This Row],[  5-11]]-Table3410112[[#This Row],[  5-11]]</f>
        <v>5854.6976963145808</v>
      </c>
      <c r="E18" s="5">
        <f>Table34101112131814151623[[#This Row],[  12-17]]-Table3410112[[#This Row],[  12-17]]</f>
        <v>-453.11332412452475</v>
      </c>
      <c r="F18" s="5">
        <f>Table34101112131814151623[[#This Row],[  18-24]]-Table3410112[[#This Row],[  18-24]]</f>
        <v>-1749.5843721900569</v>
      </c>
      <c r="G18" s="5">
        <f>Table34101112131814151623[[#This Row],[  25-29 ]]-Table3410112[[#This Row],[  25-29 ]]</f>
        <v>-521</v>
      </c>
      <c r="H18" s="5">
        <f>Table34101112131814151623[[#This Row],[  30-34]]-Table3410112[[#This Row],[  30-34]]</f>
        <v>-743</v>
      </c>
      <c r="I18" s="5">
        <f>Table34101112131814151623[[#This Row],[  35-39]]-Table3410112[[#This Row],[  35-39]]</f>
        <v>-381</v>
      </c>
      <c r="J18" s="5">
        <f>Table34101112131814151623[[#This Row],[  40-44]]-Table3410112[[#This Row],[  40-44]]</f>
        <v>-106</v>
      </c>
      <c r="K18" s="5">
        <f>Table34101112131814151623[[#This Row],[  45-49 ]]-Table3410112[[#This Row],[  45-49 ]]</f>
        <v>492</v>
      </c>
      <c r="L18" s="5">
        <f>Table34101112131814151623[[#This Row],[  50-54]]-Table3410112[[#This Row],[  50-54]]</f>
        <v>436</v>
      </c>
      <c r="M18" s="5">
        <f>Table34101112131814151623[[#This Row],[  55-59]]-Table3410112[[#This Row],[  55-59]]</f>
        <v>533</v>
      </c>
      <c r="N18" s="5">
        <f>Table34101112131814151623[[#This Row],[  60-64]]-Table3410112[[#This Row],[  60-64]]</f>
        <v>211</v>
      </c>
      <c r="O18" s="5">
        <f>Table34101112131814151623[[#This Row],[  65-69]]-Table3410112[[#This Row],[  65-69]]</f>
        <v>347</v>
      </c>
      <c r="P18" s="5">
        <f>Table34101112131814151623[[#This Row],[  70-74]]-Table3410112[[#This Row],[  70-74]]</f>
        <v>389</v>
      </c>
      <c r="Q18" s="5">
        <f>Table34101112131814151623[[#This Row],[  75-79]]-Table3410112[[#This Row],[  75-79]]</f>
        <v>28</v>
      </c>
      <c r="R18" s="5">
        <f>Table34101112131814151623[[#This Row],[  80-84]]-Table3410112[[#This Row],[  80-84]]</f>
        <v>3</v>
      </c>
      <c r="S18" s="5">
        <f>Table34101112131814151623[[#This Row],[  85-89]]-Table3410112[[#This Row],[  85-89]]</f>
        <v>42</v>
      </c>
      <c r="T18" s="5">
        <f>Table34101112131814151623[[#This Row],[  90+]]-Table3410112[[#This Row],[  90+]]</f>
        <v>32</v>
      </c>
    </row>
    <row r="19" spans="1:20" x14ac:dyDescent="0.2">
      <c r="A19" s="9" t="s">
        <v>6</v>
      </c>
      <c r="B19" s="6" t="s">
        <v>23</v>
      </c>
      <c r="C19" s="5">
        <f>Table34101112131814151623[[#This Row],[Total]]-Table3410112[[#This Row],[Total]]</f>
        <v>7733</v>
      </c>
      <c r="D19" s="5">
        <f>Table34101112131814151623[[#This Row],[  5-11]]-Table3410112[[#This Row],[  5-11]]</f>
        <v>5645.5183637544196</v>
      </c>
      <c r="E19" s="5">
        <f>Table34101112131814151623[[#This Row],[  12-17]]-Table3410112[[#This Row],[  12-17]]</f>
        <v>-642.28665158149261</v>
      </c>
      <c r="F19" s="5">
        <f>Table34101112131814151623[[#This Row],[  18-24]]-Table3410112[[#This Row],[  18-24]]</f>
        <v>-906.23171217292565</v>
      </c>
      <c r="G19" s="5">
        <f>Table34101112131814151623[[#This Row],[  25-29 ]]-Table3410112[[#This Row],[  25-29 ]]</f>
        <v>116</v>
      </c>
      <c r="H19" s="5">
        <f>Table34101112131814151623[[#This Row],[  30-34]]-Table3410112[[#This Row],[  30-34]]</f>
        <v>-64</v>
      </c>
      <c r="I19" s="5">
        <f>Table34101112131814151623[[#This Row],[  35-39]]-Table3410112[[#This Row],[  35-39]]</f>
        <v>145</v>
      </c>
      <c r="J19" s="5">
        <f>Table34101112131814151623[[#This Row],[  40-44]]-Table3410112[[#This Row],[  40-44]]</f>
        <v>349</v>
      </c>
      <c r="K19" s="5">
        <f>Table34101112131814151623[[#This Row],[  45-49 ]]-Table3410112[[#This Row],[  45-49 ]]</f>
        <v>629</v>
      </c>
      <c r="L19" s="5">
        <f>Table34101112131814151623[[#This Row],[  50-54]]-Table3410112[[#This Row],[  50-54]]</f>
        <v>455</v>
      </c>
      <c r="M19" s="5">
        <f>Table34101112131814151623[[#This Row],[  55-59]]-Table3410112[[#This Row],[  55-59]]</f>
        <v>674</v>
      </c>
      <c r="N19" s="5">
        <f>Table34101112131814151623[[#This Row],[  60-64]]-Table3410112[[#This Row],[  60-64]]</f>
        <v>307</v>
      </c>
      <c r="O19" s="5">
        <f>Table34101112131814151623[[#This Row],[  65-69]]-Table3410112[[#This Row],[  65-69]]</f>
        <v>445</v>
      </c>
      <c r="P19" s="5">
        <f>Table34101112131814151623[[#This Row],[  70-74]]-Table3410112[[#This Row],[  70-74]]</f>
        <v>455</v>
      </c>
      <c r="Q19" s="5">
        <f>Table34101112131814151623[[#This Row],[  75-79]]-Table3410112[[#This Row],[  75-79]]</f>
        <v>-47</v>
      </c>
      <c r="R19" s="5">
        <f>Table34101112131814151623[[#This Row],[  80-84]]-Table3410112[[#This Row],[  80-84]]</f>
        <v>9</v>
      </c>
      <c r="S19" s="5">
        <f>Table34101112131814151623[[#This Row],[  85-89]]-Table3410112[[#This Row],[  85-89]]</f>
        <v>88</v>
      </c>
      <c r="T19" s="5">
        <f>Table34101112131814151623[[#This Row],[  90+]]-Table3410112[[#This Row],[  90+]]</f>
        <v>75</v>
      </c>
    </row>
    <row r="20" spans="1:20" x14ac:dyDescent="0.2">
      <c r="A20" s="9" t="s">
        <v>7</v>
      </c>
      <c r="B20" s="6" t="s">
        <v>22</v>
      </c>
      <c r="C20" s="5">
        <f>Table34101112131814151623[[#This Row],[Total]]-Table3410112[[#This Row],[Total]]</f>
        <v>12090</v>
      </c>
      <c r="D20" s="5">
        <f>Table34101112131814151623[[#This Row],[  5-11]]-Table3410112[[#This Row],[  5-11]]</f>
        <v>9731.4252627265178</v>
      </c>
      <c r="E20" s="5">
        <f>Table34101112131814151623[[#This Row],[  12-17]]-Table3410112[[#This Row],[  12-17]]</f>
        <v>-536.06375453706823</v>
      </c>
      <c r="F20" s="5">
        <f>Table34101112131814151623[[#This Row],[  18-24]]-Table3410112[[#This Row],[  18-24]]</f>
        <v>-2157.3615081894495</v>
      </c>
      <c r="G20" s="5">
        <f>Table34101112131814151623[[#This Row],[  25-29 ]]-Table3410112[[#This Row],[  25-29 ]]</f>
        <v>825</v>
      </c>
      <c r="H20" s="5">
        <f>Table34101112131814151623[[#This Row],[  30-34]]-Table3410112[[#This Row],[  30-34]]</f>
        <v>241</v>
      </c>
      <c r="I20" s="5">
        <f>Table34101112131814151623[[#This Row],[  35-39]]-Table3410112[[#This Row],[  35-39]]</f>
        <v>242</v>
      </c>
      <c r="J20" s="5">
        <f>Table34101112131814151623[[#This Row],[  40-44]]-Table3410112[[#This Row],[  40-44]]</f>
        <v>139</v>
      </c>
      <c r="K20" s="5">
        <f>Table34101112131814151623[[#This Row],[  45-49 ]]-Table3410112[[#This Row],[  45-49 ]]</f>
        <v>804</v>
      </c>
      <c r="L20" s="5">
        <f>Table34101112131814151623[[#This Row],[  50-54]]-Table3410112[[#This Row],[  50-54]]</f>
        <v>629</v>
      </c>
      <c r="M20" s="5">
        <f>Table34101112131814151623[[#This Row],[  55-59]]-Table3410112[[#This Row],[  55-59]]</f>
        <v>790</v>
      </c>
      <c r="N20" s="5">
        <f>Table34101112131814151623[[#This Row],[  60-64]]-Table3410112[[#This Row],[  60-64]]</f>
        <v>511</v>
      </c>
      <c r="O20" s="5">
        <f>Table34101112131814151623[[#This Row],[  65-69]]-Table3410112[[#This Row],[  65-69]]</f>
        <v>240</v>
      </c>
      <c r="P20" s="5">
        <f>Table34101112131814151623[[#This Row],[  70-74]]-Table3410112[[#This Row],[  70-74]]</f>
        <v>590</v>
      </c>
      <c r="Q20" s="5">
        <f>Table34101112131814151623[[#This Row],[  75-79]]-Table3410112[[#This Row],[  75-79]]</f>
        <v>-38</v>
      </c>
      <c r="R20" s="5">
        <f>Table34101112131814151623[[#This Row],[  80-84]]-Table3410112[[#This Row],[  80-84]]</f>
        <v>-15</v>
      </c>
      <c r="S20" s="5">
        <f>Table34101112131814151623[[#This Row],[  85-89]]-Table3410112[[#This Row],[  85-89]]</f>
        <v>65</v>
      </c>
      <c r="T20" s="5">
        <f>Table34101112131814151623[[#This Row],[  90+]]-Table3410112[[#This Row],[  90+]]</f>
        <v>29</v>
      </c>
    </row>
    <row r="21" spans="1:20" x14ac:dyDescent="0.2">
      <c r="A21" s="9" t="s">
        <v>7</v>
      </c>
      <c r="B21" s="6" t="s">
        <v>0</v>
      </c>
      <c r="C21" s="5">
        <f>Table34101112131814151623[[#This Row],[Total]]-Table3410112[[#This Row],[Total]]</f>
        <v>6148</v>
      </c>
      <c r="D21" s="5">
        <f>Table34101112131814151623[[#This Row],[  5-11]]-Table3410112[[#This Row],[  5-11]]</f>
        <v>5121.7426671556241</v>
      </c>
      <c r="E21" s="5">
        <f>Table34101112131814151623[[#This Row],[  12-17]]-Table3410112[[#This Row],[  12-17]]</f>
        <v>-202.81896957433219</v>
      </c>
      <c r="F21" s="5">
        <f>Table34101112131814151623[[#This Row],[  18-24]]-Table3410112[[#This Row],[  18-24]]</f>
        <v>-1201.9236975812928</v>
      </c>
      <c r="G21" s="5">
        <f>Table34101112131814151623[[#This Row],[  25-29 ]]-Table3410112[[#This Row],[  25-29 ]]</f>
        <v>355</v>
      </c>
      <c r="H21" s="5">
        <f>Table34101112131814151623[[#This Row],[  30-34]]-Table3410112[[#This Row],[  30-34]]</f>
        <v>233</v>
      </c>
      <c r="I21" s="5">
        <f>Table34101112131814151623[[#This Row],[  35-39]]-Table3410112[[#This Row],[  35-39]]</f>
        <v>263</v>
      </c>
      <c r="J21" s="5">
        <f>Table34101112131814151623[[#This Row],[  40-44]]-Table3410112[[#This Row],[  40-44]]</f>
        <v>7</v>
      </c>
      <c r="K21" s="5">
        <f>Table34101112131814151623[[#This Row],[  45-49 ]]-Table3410112[[#This Row],[  45-49 ]]</f>
        <v>349</v>
      </c>
      <c r="L21" s="5">
        <f>Table34101112131814151623[[#This Row],[  50-54]]-Table3410112[[#This Row],[  50-54]]</f>
        <v>309</v>
      </c>
      <c r="M21" s="5">
        <f>Table34101112131814151623[[#This Row],[  55-59]]-Table3410112[[#This Row],[  55-59]]</f>
        <v>323</v>
      </c>
      <c r="N21" s="5">
        <f>Table34101112131814151623[[#This Row],[  60-64]]-Table3410112[[#This Row],[  60-64]]</f>
        <v>213</v>
      </c>
      <c r="O21" s="5">
        <f>Table34101112131814151623[[#This Row],[  65-69]]-Table3410112[[#This Row],[  65-69]]</f>
        <v>159</v>
      </c>
      <c r="P21" s="5">
        <f>Table34101112131814151623[[#This Row],[  70-74]]-Table3410112[[#This Row],[  70-74]]</f>
        <v>280</v>
      </c>
      <c r="Q21" s="5">
        <f>Table34101112131814151623[[#This Row],[  75-79]]-Table3410112[[#This Row],[  75-79]]</f>
        <v>-65</v>
      </c>
      <c r="R21" s="5">
        <f>Table34101112131814151623[[#This Row],[  80-84]]-Table3410112[[#This Row],[  80-84]]</f>
        <v>-36</v>
      </c>
      <c r="S21" s="5">
        <f>Table34101112131814151623[[#This Row],[  85-89]]-Table3410112[[#This Row],[  85-89]]</f>
        <v>51</v>
      </c>
      <c r="T21" s="5">
        <f>Table34101112131814151623[[#This Row],[  90+]]-Table3410112[[#This Row],[  90+]]</f>
        <v>-10</v>
      </c>
    </row>
    <row r="22" spans="1:20" x14ac:dyDescent="0.2">
      <c r="A22" s="9" t="s">
        <v>7</v>
      </c>
      <c r="B22" s="6" t="s">
        <v>23</v>
      </c>
      <c r="C22" s="5">
        <f>Table34101112131814151623[[#This Row],[Total]]-Table3410112[[#This Row],[Total]]</f>
        <v>5942</v>
      </c>
      <c r="D22" s="5">
        <f>Table34101112131814151623[[#This Row],[  5-11]]-Table3410112[[#This Row],[  5-11]]</f>
        <v>4609.1132600984092</v>
      </c>
      <c r="E22" s="5">
        <f>Table34101112131814151623[[#This Row],[  12-17]]-Table3410112[[#This Row],[  12-17]]</f>
        <v>-332.65181377593353</v>
      </c>
      <c r="F22" s="5">
        <f>Table34101112131814151623[[#This Row],[  18-24]]-Table3410112[[#This Row],[  18-24]]</f>
        <v>-955.46144632247479</v>
      </c>
      <c r="G22" s="5">
        <f>Table34101112131814151623[[#This Row],[  25-29 ]]-Table3410112[[#This Row],[  25-29 ]]</f>
        <v>470</v>
      </c>
      <c r="H22" s="5">
        <f>Table34101112131814151623[[#This Row],[  30-34]]-Table3410112[[#This Row],[  30-34]]</f>
        <v>8</v>
      </c>
      <c r="I22" s="5">
        <f>Table34101112131814151623[[#This Row],[  35-39]]-Table3410112[[#This Row],[  35-39]]</f>
        <v>-21</v>
      </c>
      <c r="J22" s="5">
        <f>Table34101112131814151623[[#This Row],[  40-44]]-Table3410112[[#This Row],[  40-44]]</f>
        <v>132</v>
      </c>
      <c r="K22" s="5">
        <f>Table34101112131814151623[[#This Row],[  45-49 ]]-Table3410112[[#This Row],[  45-49 ]]</f>
        <v>455</v>
      </c>
      <c r="L22" s="5">
        <f>Table34101112131814151623[[#This Row],[  50-54]]-Table3410112[[#This Row],[  50-54]]</f>
        <v>320</v>
      </c>
      <c r="M22" s="5">
        <f>Table34101112131814151623[[#This Row],[  55-59]]-Table3410112[[#This Row],[  55-59]]</f>
        <v>467</v>
      </c>
      <c r="N22" s="5">
        <f>Table34101112131814151623[[#This Row],[  60-64]]-Table3410112[[#This Row],[  60-64]]</f>
        <v>298</v>
      </c>
      <c r="O22" s="5">
        <f>Table34101112131814151623[[#This Row],[  65-69]]-Table3410112[[#This Row],[  65-69]]</f>
        <v>81</v>
      </c>
      <c r="P22" s="5">
        <f>Table34101112131814151623[[#This Row],[  70-74]]-Table3410112[[#This Row],[  70-74]]</f>
        <v>310</v>
      </c>
      <c r="Q22" s="5">
        <f>Table34101112131814151623[[#This Row],[  75-79]]-Table3410112[[#This Row],[  75-79]]</f>
        <v>27</v>
      </c>
      <c r="R22" s="5">
        <f>Table34101112131814151623[[#This Row],[  80-84]]-Table3410112[[#This Row],[  80-84]]</f>
        <v>21</v>
      </c>
      <c r="S22" s="5">
        <f>Table34101112131814151623[[#This Row],[  85-89]]-Table3410112[[#This Row],[  85-89]]</f>
        <v>14</v>
      </c>
      <c r="T22" s="5">
        <f>Table34101112131814151623[[#This Row],[  90+]]-Table3410112[[#This Row],[  90+]]</f>
        <v>39</v>
      </c>
    </row>
    <row r="23" spans="1:20" x14ac:dyDescent="0.2">
      <c r="A23" s="9" t="s">
        <v>8</v>
      </c>
      <c r="B23" s="6" t="s">
        <v>22</v>
      </c>
      <c r="C23" s="5">
        <f>Table34101112131814151623[[#This Row],[Total]]-Table3410112[[#This Row],[Total]]</f>
        <v>9019</v>
      </c>
      <c r="D23" s="5">
        <f>Table34101112131814151623[[#This Row],[  5-11]]-Table3410112[[#This Row],[  5-11]]</f>
        <v>6726.8133579520963</v>
      </c>
      <c r="E23" s="5">
        <f>Table34101112131814151623[[#This Row],[  12-17]]-Table3410112[[#This Row],[  12-17]]</f>
        <v>-811.11530808560929</v>
      </c>
      <c r="F23" s="5">
        <f>Table34101112131814151623[[#This Row],[  18-24]]-Table3410112[[#This Row],[  18-24]]</f>
        <v>-1605.698049866488</v>
      </c>
      <c r="G23" s="5">
        <f>Table34101112131814151623[[#This Row],[  25-29 ]]-Table3410112[[#This Row],[  25-29 ]]</f>
        <v>522</v>
      </c>
      <c r="H23" s="5">
        <f>Table34101112131814151623[[#This Row],[  30-34]]-Table3410112[[#This Row],[  30-34]]</f>
        <v>354</v>
      </c>
      <c r="I23" s="5">
        <f>Table34101112131814151623[[#This Row],[  35-39]]-Table3410112[[#This Row],[  35-39]]</f>
        <v>170</v>
      </c>
      <c r="J23" s="5">
        <f>Table34101112131814151623[[#This Row],[  40-44]]-Table3410112[[#This Row],[  40-44]]</f>
        <v>374</v>
      </c>
      <c r="K23" s="5">
        <f>Table34101112131814151623[[#This Row],[  45-49 ]]-Table3410112[[#This Row],[  45-49 ]]</f>
        <v>720</v>
      </c>
      <c r="L23" s="5">
        <f>Table34101112131814151623[[#This Row],[  50-54]]-Table3410112[[#This Row],[  50-54]]</f>
        <v>487</v>
      </c>
      <c r="M23" s="5">
        <f>Table34101112131814151623[[#This Row],[  55-59]]-Table3410112[[#This Row],[  55-59]]</f>
        <v>643</v>
      </c>
      <c r="N23" s="5">
        <f>Table34101112131814151623[[#This Row],[  60-64]]-Table3410112[[#This Row],[  60-64]]</f>
        <v>427</v>
      </c>
      <c r="O23" s="5">
        <f>Table34101112131814151623[[#This Row],[  65-69]]-Table3410112[[#This Row],[  65-69]]</f>
        <v>409</v>
      </c>
      <c r="P23" s="5">
        <f>Table34101112131814151623[[#This Row],[  70-74]]-Table3410112[[#This Row],[  70-74]]</f>
        <v>551</v>
      </c>
      <c r="Q23" s="5">
        <f>Table34101112131814151623[[#This Row],[  75-79]]-Table3410112[[#This Row],[  75-79]]</f>
        <v>6</v>
      </c>
      <c r="R23" s="5">
        <f>Table34101112131814151623[[#This Row],[  80-84]]-Table3410112[[#This Row],[  80-84]]</f>
        <v>-39</v>
      </c>
      <c r="S23" s="5">
        <f>Table34101112131814151623[[#This Row],[  85-89]]-Table3410112[[#This Row],[  85-89]]</f>
        <v>65</v>
      </c>
      <c r="T23" s="5">
        <f>Table34101112131814151623[[#This Row],[  90+]]-Table3410112[[#This Row],[  90+]]</f>
        <v>20</v>
      </c>
    </row>
    <row r="24" spans="1:20" x14ac:dyDescent="0.2">
      <c r="A24" s="9" t="s">
        <v>8</v>
      </c>
      <c r="B24" s="6" t="s">
        <v>0</v>
      </c>
      <c r="C24" s="5">
        <f>Table34101112131814151623[[#This Row],[Total]]-Table3410112[[#This Row],[Total]]</f>
        <v>4401</v>
      </c>
      <c r="D24" s="5">
        <f>Table34101112131814151623[[#This Row],[  5-11]]-Table3410112[[#This Row],[  5-11]]</f>
        <v>3532.6348616274208</v>
      </c>
      <c r="E24" s="5">
        <f>Table34101112131814151623[[#This Row],[  12-17]]-Table3410112[[#This Row],[  12-17]]</f>
        <v>-389.26898228772143</v>
      </c>
      <c r="F24" s="5">
        <f>Table34101112131814151623[[#This Row],[  18-24]]-Table3410112[[#This Row],[  18-24]]</f>
        <v>-890.3658793396994</v>
      </c>
      <c r="G24" s="5">
        <f>Table34101112131814151623[[#This Row],[  25-29 ]]-Table3410112[[#This Row],[  25-29 ]]</f>
        <v>223</v>
      </c>
      <c r="H24" s="5">
        <f>Table34101112131814151623[[#This Row],[  30-34]]-Table3410112[[#This Row],[  30-34]]</f>
        <v>124</v>
      </c>
      <c r="I24" s="5">
        <f>Table34101112131814151623[[#This Row],[  35-39]]-Table3410112[[#This Row],[  35-39]]</f>
        <v>162</v>
      </c>
      <c r="J24" s="5">
        <f>Table34101112131814151623[[#This Row],[  40-44]]-Table3410112[[#This Row],[  40-44]]</f>
        <v>156</v>
      </c>
      <c r="K24" s="5">
        <f>Table34101112131814151623[[#This Row],[  45-49 ]]-Table3410112[[#This Row],[  45-49 ]]</f>
        <v>386</v>
      </c>
      <c r="L24" s="5">
        <f>Table34101112131814151623[[#This Row],[  50-54]]-Table3410112[[#This Row],[  50-54]]</f>
        <v>221</v>
      </c>
      <c r="M24" s="5">
        <f>Table34101112131814151623[[#This Row],[  55-59]]-Table3410112[[#This Row],[  55-59]]</f>
        <v>339</v>
      </c>
      <c r="N24" s="5">
        <f>Table34101112131814151623[[#This Row],[  60-64]]-Table3410112[[#This Row],[  60-64]]</f>
        <v>202</v>
      </c>
      <c r="O24" s="5">
        <f>Table34101112131814151623[[#This Row],[  65-69]]-Table3410112[[#This Row],[  65-69]]</f>
        <v>143</v>
      </c>
      <c r="P24" s="5">
        <f>Table34101112131814151623[[#This Row],[  70-74]]-Table3410112[[#This Row],[  70-74]]</f>
        <v>223</v>
      </c>
      <c r="Q24" s="5">
        <f>Table34101112131814151623[[#This Row],[  75-79]]-Table3410112[[#This Row],[  75-79]]</f>
        <v>-13</v>
      </c>
      <c r="R24" s="5">
        <f>Table34101112131814151623[[#This Row],[  80-84]]-Table3410112[[#This Row],[  80-84]]</f>
        <v>-40</v>
      </c>
      <c r="S24" s="5">
        <f>Table34101112131814151623[[#This Row],[  85-89]]-Table3410112[[#This Row],[  85-89]]</f>
        <v>31</v>
      </c>
      <c r="T24" s="5">
        <f>Table34101112131814151623[[#This Row],[  90+]]-Table3410112[[#This Row],[  90+]]</f>
        <v>-9</v>
      </c>
    </row>
    <row r="25" spans="1:20" x14ac:dyDescent="0.2">
      <c r="A25" s="9" t="s">
        <v>8</v>
      </c>
      <c r="B25" s="6" t="s">
        <v>23</v>
      </c>
      <c r="C25" s="5">
        <f>Table34101112131814151623[[#This Row],[Total]]-Table3410112[[#This Row],[Total]]</f>
        <v>4618</v>
      </c>
      <c r="D25" s="5">
        <f>Table34101112131814151623[[#This Row],[  5-11]]-Table3410112[[#This Row],[  5-11]]</f>
        <v>3193.4588607761802</v>
      </c>
      <c r="E25" s="5">
        <f>Table34101112131814151623[[#This Row],[  12-17]]-Table3410112[[#This Row],[  12-17]]</f>
        <v>-421.14129190004996</v>
      </c>
      <c r="F25" s="5">
        <f>Table34101112131814151623[[#This Row],[  18-24]]-Table3410112[[#This Row],[  18-24]]</f>
        <v>-715.31756887612983</v>
      </c>
      <c r="G25" s="5">
        <f>Table34101112131814151623[[#This Row],[  25-29 ]]-Table3410112[[#This Row],[  25-29 ]]</f>
        <v>299</v>
      </c>
      <c r="H25" s="5">
        <f>Table34101112131814151623[[#This Row],[  30-34]]-Table3410112[[#This Row],[  30-34]]</f>
        <v>230</v>
      </c>
      <c r="I25" s="5">
        <f>Table34101112131814151623[[#This Row],[  35-39]]-Table3410112[[#This Row],[  35-39]]</f>
        <v>8</v>
      </c>
      <c r="J25" s="5">
        <f>Table34101112131814151623[[#This Row],[  40-44]]-Table3410112[[#This Row],[  40-44]]</f>
        <v>218</v>
      </c>
      <c r="K25" s="5">
        <f>Table34101112131814151623[[#This Row],[  45-49 ]]-Table3410112[[#This Row],[  45-49 ]]</f>
        <v>334</v>
      </c>
      <c r="L25" s="5">
        <f>Table34101112131814151623[[#This Row],[  50-54]]-Table3410112[[#This Row],[  50-54]]</f>
        <v>266</v>
      </c>
      <c r="M25" s="5">
        <f>Table34101112131814151623[[#This Row],[  55-59]]-Table3410112[[#This Row],[  55-59]]</f>
        <v>304</v>
      </c>
      <c r="N25" s="5">
        <f>Table34101112131814151623[[#This Row],[  60-64]]-Table3410112[[#This Row],[  60-64]]</f>
        <v>225</v>
      </c>
      <c r="O25" s="5">
        <f>Table34101112131814151623[[#This Row],[  65-69]]-Table3410112[[#This Row],[  65-69]]</f>
        <v>266</v>
      </c>
      <c r="P25" s="5">
        <f>Table34101112131814151623[[#This Row],[  70-74]]-Table3410112[[#This Row],[  70-74]]</f>
        <v>328</v>
      </c>
      <c r="Q25" s="5">
        <f>Table34101112131814151623[[#This Row],[  75-79]]-Table3410112[[#This Row],[  75-79]]</f>
        <v>19</v>
      </c>
      <c r="R25" s="5">
        <f>Table34101112131814151623[[#This Row],[  80-84]]-Table3410112[[#This Row],[  80-84]]</f>
        <v>1</v>
      </c>
      <c r="S25" s="5">
        <f>Table34101112131814151623[[#This Row],[  85-89]]-Table3410112[[#This Row],[  85-89]]</f>
        <v>34</v>
      </c>
      <c r="T25" s="5">
        <f>Table34101112131814151623[[#This Row],[  90+]]-Table3410112[[#This Row],[  90+]]</f>
        <v>29</v>
      </c>
    </row>
    <row r="26" spans="1:20" x14ac:dyDescent="0.2">
      <c r="A26" s="9" t="s">
        <v>9</v>
      </c>
      <c r="B26" s="6" t="s">
        <v>22</v>
      </c>
      <c r="C26" s="5">
        <f>Table34101112131814151623[[#This Row],[Total]]-Table3410112[[#This Row],[Total]]</f>
        <v>14905</v>
      </c>
      <c r="D26" s="5">
        <f>Table34101112131814151623[[#This Row],[  5-11]]-Table3410112[[#This Row],[  5-11]]</f>
        <v>13578.962148711511</v>
      </c>
      <c r="E26" s="5">
        <f>Table34101112131814151623[[#This Row],[  12-17]]-Table3410112[[#This Row],[  12-17]]</f>
        <v>-340.07501406244774</v>
      </c>
      <c r="F26" s="5">
        <f>Table34101112131814151623[[#This Row],[  18-24]]-Table3410112[[#This Row],[  18-24]]</f>
        <v>-3848.8871346490632</v>
      </c>
      <c r="G26" s="5">
        <f>Table34101112131814151623[[#This Row],[  25-29 ]]-Table3410112[[#This Row],[  25-29 ]]</f>
        <v>177</v>
      </c>
      <c r="H26" s="5">
        <f>Table34101112131814151623[[#This Row],[  30-34]]-Table3410112[[#This Row],[  30-34]]</f>
        <v>-34</v>
      </c>
      <c r="I26" s="5">
        <f>Table34101112131814151623[[#This Row],[  35-39]]-Table3410112[[#This Row],[  35-39]]</f>
        <v>85</v>
      </c>
      <c r="J26" s="5">
        <f>Table34101112131814151623[[#This Row],[  40-44]]-Table3410112[[#This Row],[  40-44]]</f>
        <v>341</v>
      </c>
      <c r="K26" s="5">
        <f>Table34101112131814151623[[#This Row],[  45-49 ]]-Table3410112[[#This Row],[  45-49 ]]</f>
        <v>1203</v>
      </c>
      <c r="L26" s="5">
        <f>Table34101112131814151623[[#This Row],[  50-54]]-Table3410112[[#This Row],[  50-54]]</f>
        <v>874</v>
      </c>
      <c r="M26" s="5">
        <f>Table34101112131814151623[[#This Row],[  55-59]]-Table3410112[[#This Row],[  55-59]]</f>
        <v>1211</v>
      </c>
      <c r="N26" s="5">
        <f>Table34101112131814151623[[#This Row],[  60-64]]-Table3410112[[#This Row],[  60-64]]</f>
        <v>504</v>
      </c>
      <c r="O26" s="5">
        <f>Table34101112131814151623[[#This Row],[  65-69]]-Table3410112[[#This Row],[  65-69]]</f>
        <v>502</v>
      </c>
      <c r="P26" s="5">
        <f>Table34101112131814151623[[#This Row],[  70-74]]-Table3410112[[#This Row],[  70-74]]</f>
        <v>740</v>
      </c>
      <c r="Q26" s="5">
        <f>Table34101112131814151623[[#This Row],[  75-79]]-Table3410112[[#This Row],[  75-79]]</f>
        <v>-135</v>
      </c>
      <c r="R26" s="5">
        <f>Table34101112131814151623[[#This Row],[  80-84]]-Table3410112[[#This Row],[  80-84]]</f>
        <v>-52</v>
      </c>
      <c r="S26" s="5">
        <f>Table34101112131814151623[[#This Row],[  85-89]]-Table3410112[[#This Row],[  85-89]]</f>
        <v>59</v>
      </c>
      <c r="T26" s="5">
        <f>Table34101112131814151623[[#This Row],[  90+]]-Table3410112[[#This Row],[  90+]]</f>
        <v>40</v>
      </c>
    </row>
    <row r="27" spans="1:20" x14ac:dyDescent="0.2">
      <c r="A27" s="9" t="s">
        <v>9</v>
      </c>
      <c r="B27" s="6" t="s">
        <v>0</v>
      </c>
      <c r="C27" s="5">
        <f>Table34101112131814151623[[#This Row],[Total]]-Table3410112[[#This Row],[Total]]</f>
        <v>7329</v>
      </c>
      <c r="D27" s="5">
        <f>Table34101112131814151623[[#This Row],[  5-11]]-Table3410112[[#This Row],[  5-11]]</f>
        <v>6900.4240651187283</v>
      </c>
      <c r="E27" s="5">
        <f>Table34101112131814151623[[#This Row],[  12-17]]-Table3410112[[#This Row],[  12-17]]</f>
        <v>-128.52047825912632</v>
      </c>
      <c r="F27" s="5">
        <f>Table34101112131814151623[[#This Row],[  18-24]]-Table3410112[[#This Row],[  18-24]]</f>
        <v>-1910.9035868596047</v>
      </c>
      <c r="G27" s="5">
        <f>Table34101112131814151623[[#This Row],[  25-29 ]]-Table3410112[[#This Row],[  25-29 ]]</f>
        <v>148</v>
      </c>
      <c r="H27" s="5">
        <f>Table34101112131814151623[[#This Row],[  30-34]]-Table3410112[[#This Row],[  30-34]]</f>
        <v>-83</v>
      </c>
      <c r="I27" s="5">
        <f>Table34101112131814151623[[#This Row],[  35-39]]-Table3410112[[#This Row],[  35-39]]</f>
        <v>102</v>
      </c>
      <c r="J27" s="5">
        <f>Table34101112131814151623[[#This Row],[  40-44]]-Table3410112[[#This Row],[  40-44]]</f>
        <v>119</v>
      </c>
      <c r="K27" s="5">
        <f>Table34101112131814151623[[#This Row],[  45-49 ]]-Table3410112[[#This Row],[  45-49 ]]</f>
        <v>628</v>
      </c>
      <c r="L27" s="5">
        <f>Table34101112131814151623[[#This Row],[  50-54]]-Table3410112[[#This Row],[  50-54]]</f>
        <v>387</v>
      </c>
      <c r="M27" s="5">
        <f>Table34101112131814151623[[#This Row],[  55-59]]-Table3410112[[#This Row],[  55-59]]</f>
        <v>545</v>
      </c>
      <c r="N27" s="5">
        <f>Table34101112131814151623[[#This Row],[  60-64]]-Table3410112[[#This Row],[  60-64]]</f>
        <v>188</v>
      </c>
      <c r="O27" s="5">
        <f>Table34101112131814151623[[#This Row],[  65-69]]-Table3410112[[#This Row],[  65-69]]</f>
        <v>201</v>
      </c>
      <c r="P27" s="5">
        <f>Table34101112131814151623[[#This Row],[  70-74]]-Table3410112[[#This Row],[  70-74]]</f>
        <v>390</v>
      </c>
      <c r="Q27" s="5">
        <f>Table34101112131814151623[[#This Row],[  75-79]]-Table3410112[[#This Row],[  75-79]]</f>
        <v>-137</v>
      </c>
      <c r="R27" s="5">
        <f>Table34101112131814151623[[#This Row],[  80-84]]-Table3410112[[#This Row],[  80-84]]</f>
        <v>-1</v>
      </c>
      <c r="S27" s="5">
        <f>Table34101112131814151623[[#This Row],[  85-89]]-Table3410112[[#This Row],[  85-89]]</f>
        <v>-58</v>
      </c>
      <c r="T27" s="5">
        <f>Table34101112131814151623[[#This Row],[  90+]]-Table3410112[[#This Row],[  90+]]</f>
        <v>39</v>
      </c>
    </row>
    <row r="28" spans="1:20" x14ac:dyDescent="0.2">
      <c r="A28" s="9" t="s">
        <v>9</v>
      </c>
      <c r="B28" s="6" t="s">
        <v>23</v>
      </c>
      <c r="C28" s="5">
        <f>Table34101112131814151623[[#This Row],[Total]]-Table3410112[[#This Row],[Total]]</f>
        <v>7576</v>
      </c>
      <c r="D28" s="5">
        <f>Table34101112131814151623[[#This Row],[  5-11]]-Table3410112[[#This Row],[  5-11]]</f>
        <v>6677.9610101837243</v>
      </c>
      <c r="E28" s="5">
        <f>Table34101112131814151623[[#This Row],[  12-17]]-Table3410112[[#This Row],[  12-17]]</f>
        <v>-211.08866502873389</v>
      </c>
      <c r="F28" s="5">
        <f>Table34101112131814151623[[#This Row],[  18-24]]-Table3410112[[#This Row],[  18-24]]</f>
        <v>-1937.8723451549881</v>
      </c>
      <c r="G28" s="5">
        <f>Table34101112131814151623[[#This Row],[  25-29 ]]-Table3410112[[#This Row],[  25-29 ]]</f>
        <v>29</v>
      </c>
      <c r="H28" s="5">
        <f>Table34101112131814151623[[#This Row],[  30-34]]-Table3410112[[#This Row],[  30-34]]</f>
        <v>49</v>
      </c>
      <c r="I28" s="5">
        <f>Table34101112131814151623[[#This Row],[  35-39]]-Table3410112[[#This Row],[  35-39]]</f>
        <v>-17</v>
      </c>
      <c r="J28" s="5">
        <f>Table34101112131814151623[[#This Row],[  40-44]]-Table3410112[[#This Row],[  40-44]]</f>
        <v>222</v>
      </c>
      <c r="K28" s="5">
        <f>Table34101112131814151623[[#This Row],[  45-49 ]]-Table3410112[[#This Row],[  45-49 ]]</f>
        <v>575</v>
      </c>
      <c r="L28" s="5">
        <f>Table34101112131814151623[[#This Row],[  50-54]]-Table3410112[[#This Row],[  50-54]]</f>
        <v>487</v>
      </c>
      <c r="M28" s="5">
        <f>Table34101112131814151623[[#This Row],[  55-59]]-Table3410112[[#This Row],[  55-59]]</f>
        <v>666</v>
      </c>
      <c r="N28" s="5">
        <f>Table34101112131814151623[[#This Row],[  60-64]]-Table3410112[[#This Row],[  60-64]]</f>
        <v>316</v>
      </c>
      <c r="O28" s="5">
        <f>Table34101112131814151623[[#This Row],[  65-69]]-Table3410112[[#This Row],[  65-69]]</f>
        <v>301</v>
      </c>
      <c r="P28" s="5">
        <f>Table34101112131814151623[[#This Row],[  70-74]]-Table3410112[[#This Row],[  70-74]]</f>
        <v>350</v>
      </c>
      <c r="Q28" s="5">
        <f>Table34101112131814151623[[#This Row],[  75-79]]-Table3410112[[#This Row],[  75-79]]</f>
        <v>2</v>
      </c>
      <c r="R28" s="5">
        <f>Table34101112131814151623[[#This Row],[  80-84]]-Table3410112[[#This Row],[  80-84]]</f>
        <v>-51</v>
      </c>
      <c r="S28" s="5">
        <f>Table34101112131814151623[[#This Row],[  85-89]]-Table3410112[[#This Row],[  85-89]]</f>
        <v>117</v>
      </c>
      <c r="T28" s="5">
        <f>Table34101112131814151623[[#This Row],[  90+]]-Table3410112[[#This Row],[  90+]]</f>
        <v>1</v>
      </c>
    </row>
    <row r="29" spans="1:20" x14ac:dyDescent="0.2">
      <c r="A29" s="9" t="s">
        <v>10</v>
      </c>
      <c r="B29" s="6" t="s">
        <v>22</v>
      </c>
      <c r="C29" s="5">
        <f>Table34101112131814151623[[#This Row],[Total]]-Table3410112[[#This Row],[Total]]</f>
        <v>16710</v>
      </c>
      <c r="D29" s="5">
        <f>Table34101112131814151623[[#This Row],[  5-11]]-Table3410112[[#This Row],[  5-11]]</f>
        <v>10931.810864396892</v>
      </c>
      <c r="E29" s="5">
        <f>Table34101112131814151623[[#This Row],[  12-17]]-Table3410112[[#This Row],[  12-17]]</f>
        <v>-402.93008063405159</v>
      </c>
      <c r="F29" s="5">
        <f>Table34101112131814151623[[#This Row],[  18-24]]-Table3410112[[#This Row],[  18-24]]</f>
        <v>-1361.8807837628383</v>
      </c>
      <c r="G29" s="5">
        <f>Table34101112131814151623[[#This Row],[  25-29 ]]-Table3410112[[#This Row],[  25-29 ]]</f>
        <v>337</v>
      </c>
      <c r="H29" s="5">
        <f>Table34101112131814151623[[#This Row],[  30-34]]-Table3410112[[#This Row],[  30-34]]</f>
        <v>-239</v>
      </c>
      <c r="I29" s="5">
        <f>Table34101112131814151623[[#This Row],[  35-39]]-Table3410112[[#This Row],[  35-39]]</f>
        <v>-140</v>
      </c>
      <c r="J29" s="5">
        <f>Table34101112131814151623[[#This Row],[  40-44]]-Table3410112[[#This Row],[  40-44]]</f>
        <v>509</v>
      </c>
      <c r="K29" s="5">
        <f>Table34101112131814151623[[#This Row],[  45-49 ]]-Table3410112[[#This Row],[  45-49 ]]</f>
        <v>1523</v>
      </c>
      <c r="L29" s="5">
        <f>Table34101112131814151623[[#This Row],[  50-54]]-Table3410112[[#This Row],[  50-54]]</f>
        <v>1274</v>
      </c>
      <c r="M29" s="5">
        <f>Table34101112131814151623[[#This Row],[  55-59]]-Table3410112[[#This Row],[  55-59]]</f>
        <v>1391</v>
      </c>
      <c r="N29" s="5">
        <f>Table34101112131814151623[[#This Row],[  60-64]]-Table3410112[[#This Row],[  60-64]]</f>
        <v>857</v>
      </c>
      <c r="O29" s="5">
        <f>Table34101112131814151623[[#This Row],[  65-69]]-Table3410112[[#This Row],[  65-69]]</f>
        <v>876</v>
      </c>
      <c r="P29" s="5">
        <f>Table34101112131814151623[[#This Row],[  70-74]]-Table3410112[[#This Row],[  70-74]]</f>
        <v>932</v>
      </c>
      <c r="Q29" s="5">
        <f>Table34101112131814151623[[#This Row],[  75-79]]-Table3410112[[#This Row],[  75-79]]</f>
        <v>-170</v>
      </c>
      <c r="R29" s="5">
        <f>Table34101112131814151623[[#This Row],[  80-84]]-Table3410112[[#This Row],[  80-84]]</f>
        <v>8</v>
      </c>
      <c r="S29" s="5">
        <f>Table34101112131814151623[[#This Row],[  85-89]]-Table3410112[[#This Row],[  85-89]]</f>
        <v>171</v>
      </c>
      <c r="T29" s="5">
        <f>Table34101112131814151623[[#This Row],[  90+]]-Table3410112[[#This Row],[  90+]]</f>
        <v>214</v>
      </c>
    </row>
    <row r="30" spans="1:20" x14ac:dyDescent="0.2">
      <c r="A30" s="9" t="s">
        <v>10</v>
      </c>
      <c r="B30" s="6" t="s">
        <v>0</v>
      </c>
      <c r="C30" s="5">
        <f>Table34101112131814151623[[#This Row],[Total]]-Table3410112[[#This Row],[Total]]</f>
        <v>6749</v>
      </c>
      <c r="D30" s="5">
        <f>Table34101112131814151623[[#This Row],[  5-11]]-Table3410112[[#This Row],[  5-11]]</f>
        <v>5722.0751246616537</v>
      </c>
      <c r="E30" s="5">
        <f>Table34101112131814151623[[#This Row],[  12-17]]-Table3410112[[#This Row],[  12-17]]</f>
        <v>-142.51186610208151</v>
      </c>
      <c r="F30" s="5">
        <f>Table34101112131814151623[[#This Row],[  18-24]]-Table3410112[[#This Row],[  18-24]]</f>
        <v>-1096.5632585595722</v>
      </c>
      <c r="G30" s="5">
        <f>Table34101112131814151623[[#This Row],[  25-29 ]]-Table3410112[[#This Row],[  25-29 ]]</f>
        <v>-55</v>
      </c>
      <c r="H30" s="5">
        <f>Table34101112131814151623[[#This Row],[  30-34]]-Table3410112[[#This Row],[  30-34]]</f>
        <v>-365</v>
      </c>
      <c r="I30" s="5">
        <f>Table34101112131814151623[[#This Row],[  35-39]]-Table3410112[[#This Row],[  35-39]]</f>
        <v>-221</v>
      </c>
      <c r="J30" s="5">
        <f>Table34101112131814151623[[#This Row],[  40-44]]-Table3410112[[#This Row],[  40-44]]</f>
        <v>34</v>
      </c>
      <c r="K30" s="5">
        <f>Table34101112131814151623[[#This Row],[  45-49 ]]-Table3410112[[#This Row],[  45-49 ]]</f>
        <v>597</v>
      </c>
      <c r="L30" s="5">
        <f>Table34101112131814151623[[#This Row],[  50-54]]-Table3410112[[#This Row],[  50-54]]</f>
        <v>573</v>
      </c>
      <c r="M30" s="5">
        <f>Table34101112131814151623[[#This Row],[  55-59]]-Table3410112[[#This Row],[  55-59]]</f>
        <v>563</v>
      </c>
      <c r="N30" s="5">
        <f>Table34101112131814151623[[#This Row],[  60-64]]-Table3410112[[#This Row],[  60-64]]</f>
        <v>354</v>
      </c>
      <c r="O30" s="5">
        <f>Table34101112131814151623[[#This Row],[  65-69]]-Table3410112[[#This Row],[  65-69]]</f>
        <v>345</v>
      </c>
      <c r="P30" s="5">
        <f>Table34101112131814151623[[#This Row],[  70-74]]-Table3410112[[#This Row],[  70-74]]</f>
        <v>470</v>
      </c>
      <c r="Q30" s="5">
        <f>Table34101112131814151623[[#This Row],[  75-79]]-Table3410112[[#This Row],[  75-79]]</f>
        <v>-129</v>
      </c>
      <c r="R30" s="5">
        <f>Table34101112131814151623[[#This Row],[  80-84]]-Table3410112[[#This Row],[  80-84]]</f>
        <v>-19</v>
      </c>
      <c r="S30" s="5">
        <f>Table34101112131814151623[[#This Row],[  85-89]]-Table3410112[[#This Row],[  85-89]]</f>
        <v>75</v>
      </c>
      <c r="T30" s="5">
        <f>Table34101112131814151623[[#This Row],[  90+]]-Table3410112[[#This Row],[  90+]]</f>
        <v>44</v>
      </c>
    </row>
    <row r="31" spans="1:20" x14ac:dyDescent="0.2">
      <c r="A31" s="9" t="s">
        <v>10</v>
      </c>
      <c r="B31" s="6" t="s">
        <v>23</v>
      </c>
      <c r="C31" s="5">
        <f>Table34101112131814151623[[#This Row],[Total]]-Table3410112[[#This Row],[Total]]</f>
        <v>9961</v>
      </c>
      <c r="D31" s="5">
        <f>Table34101112131814151623[[#This Row],[  5-11]]-Table3410112[[#This Row],[  5-11]]</f>
        <v>5209.1994038848998</v>
      </c>
      <c r="E31" s="5">
        <f>Table34101112131814151623[[#This Row],[  12-17]]-Table3410112[[#This Row],[  12-17]]</f>
        <v>-259.83307153637725</v>
      </c>
      <c r="F31" s="5">
        <f>Table34101112131814151623[[#This Row],[  18-24]]-Table3410112[[#This Row],[  18-24]]</f>
        <v>-265.36633234852252</v>
      </c>
      <c r="G31" s="5">
        <f>Table34101112131814151623[[#This Row],[  25-29 ]]-Table3410112[[#This Row],[  25-29 ]]</f>
        <v>392</v>
      </c>
      <c r="H31" s="5">
        <f>Table34101112131814151623[[#This Row],[  30-34]]-Table3410112[[#This Row],[  30-34]]</f>
        <v>126</v>
      </c>
      <c r="I31" s="5">
        <f>Table34101112131814151623[[#This Row],[  35-39]]-Table3410112[[#This Row],[  35-39]]</f>
        <v>81</v>
      </c>
      <c r="J31" s="5">
        <f>Table34101112131814151623[[#This Row],[  40-44]]-Table3410112[[#This Row],[  40-44]]</f>
        <v>475</v>
      </c>
      <c r="K31" s="5">
        <f>Table34101112131814151623[[#This Row],[  45-49 ]]-Table3410112[[#This Row],[  45-49 ]]</f>
        <v>926</v>
      </c>
      <c r="L31" s="5">
        <f>Table34101112131814151623[[#This Row],[  50-54]]-Table3410112[[#This Row],[  50-54]]</f>
        <v>701</v>
      </c>
      <c r="M31" s="5">
        <f>Table34101112131814151623[[#This Row],[  55-59]]-Table3410112[[#This Row],[  55-59]]</f>
        <v>828</v>
      </c>
      <c r="N31" s="5">
        <f>Table34101112131814151623[[#This Row],[  60-64]]-Table3410112[[#This Row],[  60-64]]</f>
        <v>503</v>
      </c>
      <c r="O31" s="5">
        <f>Table34101112131814151623[[#This Row],[  65-69]]-Table3410112[[#This Row],[  65-69]]</f>
        <v>531</v>
      </c>
      <c r="P31" s="5">
        <f>Table34101112131814151623[[#This Row],[  70-74]]-Table3410112[[#This Row],[  70-74]]</f>
        <v>462</v>
      </c>
      <c r="Q31" s="5">
        <f>Table34101112131814151623[[#This Row],[  75-79]]-Table3410112[[#This Row],[  75-79]]</f>
        <v>-41</v>
      </c>
      <c r="R31" s="5">
        <f>Table34101112131814151623[[#This Row],[  80-84]]-Table3410112[[#This Row],[  80-84]]</f>
        <v>27</v>
      </c>
      <c r="S31" s="5">
        <f>Table34101112131814151623[[#This Row],[  85-89]]-Table3410112[[#This Row],[  85-89]]</f>
        <v>96</v>
      </c>
      <c r="T31" s="5">
        <f>Table34101112131814151623[[#This Row],[  90+]]-Table3410112[[#This Row],[  90+]]</f>
        <v>170</v>
      </c>
    </row>
    <row r="32" spans="1:20" x14ac:dyDescent="0.2">
      <c r="A32" s="9" t="s">
        <v>11</v>
      </c>
      <c r="B32" s="6" t="s">
        <v>22</v>
      </c>
      <c r="C32" s="5">
        <f>Table34101112131814151623[[#This Row],[Total]]-Table3410112[[#This Row],[Total]]</f>
        <v>17712</v>
      </c>
      <c r="D32" s="5">
        <f>Table34101112131814151623[[#This Row],[  5-11]]-Table3410112[[#This Row],[  5-11]]</f>
        <v>10768.468735912118</v>
      </c>
      <c r="E32" s="5">
        <f>Table34101112131814151623[[#This Row],[  12-17]]-Table3410112[[#This Row],[  12-17]]</f>
        <v>-964.47931522039653</v>
      </c>
      <c r="F32" s="5">
        <f>Table34101112131814151623[[#This Row],[  18-24]]-Table3410112[[#This Row],[  18-24]]</f>
        <v>-1876.9894206917197</v>
      </c>
      <c r="G32" s="5">
        <f>Table34101112131814151623[[#This Row],[  25-29 ]]-Table3410112[[#This Row],[  25-29 ]]</f>
        <v>516</v>
      </c>
      <c r="H32" s="5">
        <f>Table34101112131814151623[[#This Row],[  30-34]]-Table3410112[[#This Row],[  30-34]]</f>
        <v>613</v>
      </c>
      <c r="I32" s="5">
        <f>Table34101112131814151623[[#This Row],[  35-39]]-Table3410112[[#This Row],[  35-39]]</f>
        <v>418</v>
      </c>
      <c r="J32" s="5">
        <f>Table34101112131814151623[[#This Row],[  40-44]]-Table3410112[[#This Row],[  40-44]]</f>
        <v>836</v>
      </c>
      <c r="K32" s="5">
        <f>Table34101112131814151623[[#This Row],[  45-49 ]]-Table3410112[[#This Row],[  45-49 ]]</f>
        <v>1374</v>
      </c>
      <c r="L32" s="5">
        <f>Table34101112131814151623[[#This Row],[  50-54]]-Table3410112[[#This Row],[  50-54]]</f>
        <v>1501</v>
      </c>
      <c r="M32" s="5">
        <f>Table34101112131814151623[[#This Row],[  55-59]]-Table3410112[[#This Row],[  55-59]]</f>
        <v>1499</v>
      </c>
      <c r="N32" s="5">
        <f>Table34101112131814151623[[#This Row],[  60-64]]-Table3410112[[#This Row],[  60-64]]</f>
        <v>1250</v>
      </c>
      <c r="O32" s="5">
        <f>Table34101112131814151623[[#This Row],[  65-69]]-Table3410112[[#This Row],[  65-69]]</f>
        <v>1165</v>
      </c>
      <c r="P32" s="5">
        <f>Table34101112131814151623[[#This Row],[  70-74]]-Table3410112[[#This Row],[  70-74]]</f>
        <v>840</v>
      </c>
      <c r="Q32" s="5">
        <f>Table34101112131814151623[[#This Row],[  75-79]]-Table3410112[[#This Row],[  75-79]]</f>
        <v>-312</v>
      </c>
      <c r="R32" s="5">
        <f>Table34101112131814151623[[#This Row],[  80-84]]-Table3410112[[#This Row],[  80-84]]</f>
        <v>45</v>
      </c>
      <c r="S32" s="5">
        <f>Table34101112131814151623[[#This Row],[  85-89]]-Table3410112[[#This Row],[  85-89]]</f>
        <v>-40</v>
      </c>
      <c r="T32" s="5">
        <f>Table34101112131814151623[[#This Row],[  90+]]-Table3410112[[#This Row],[  90+]]</f>
        <v>80</v>
      </c>
    </row>
    <row r="33" spans="1:20" x14ac:dyDescent="0.2">
      <c r="A33" s="9" t="s">
        <v>11</v>
      </c>
      <c r="B33" s="6" t="s">
        <v>0</v>
      </c>
      <c r="C33" s="5">
        <f>Table34101112131814151623[[#This Row],[Total]]-Table3410112[[#This Row],[Total]]</f>
        <v>8916</v>
      </c>
      <c r="D33" s="5">
        <f>Table34101112131814151623[[#This Row],[  5-11]]-Table3410112[[#This Row],[  5-11]]</f>
        <v>5588.6211736680225</v>
      </c>
      <c r="E33" s="5">
        <f>Table34101112131814151623[[#This Row],[  12-17]]-Table3410112[[#This Row],[  12-17]]</f>
        <v>-432.19482764775876</v>
      </c>
      <c r="F33" s="5">
        <f>Table34101112131814151623[[#This Row],[  18-24]]-Table3410112[[#This Row],[  18-24]]</f>
        <v>-1021.4263460202637</v>
      </c>
      <c r="G33" s="5">
        <f>Table34101112131814151623[[#This Row],[  25-29 ]]-Table3410112[[#This Row],[  25-29 ]]</f>
        <v>295</v>
      </c>
      <c r="H33" s="5">
        <f>Table34101112131814151623[[#This Row],[  30-34]]-Table3410112[[#This Row],[  30-34]]</f>
        <v>497</v>
      </c>
      <c r="I33" s="5">
        <f>Table34101112131814151623[[#This Row],[  35-39]]-Table3410112[[#This Row],[  35-39]]</f>
        <v>183</v>
      </c>
      <c r="J33" s="5">
        <f>Table34101112131814151623[[#This Row],[  40-44]]-Table3410112[[#This Row],[  40-44]]</f>
        <v>425</v>
      </c>
      <c r="K33" s="5">
        <f>Table34101112131814151623[[#This Row],[  45-49 ]]-Table3410112[[#This Row],[  45-49 ]]</f>
        <v>766</v>
      </c>
      <c r="L33" s="5">
        <f>Table34101112131814151623[[#This Row],[  50-54]]-Table3410112[[#This Row],[  50-54]]</f>
        <v>721</v>
      </c>
      <c r="M33" s="5">
        <f>Table34101112131814151623[[#This Row],[  55-59]]-Table3410112[[#This Row],[  55-59]]</f>
        <v>684</v>
      </c>
      <c r="N33" s="5">
        <f>Table34101112131814151623[[#This Row],[  60-64]]-Table3410112[[#This Row],[  60-64]]</f>
        <v>594</v>
      </c>
      <c r="O33" s="5">
        <f>Table34101112131814151623[[#This Row],[  65-69]]-Table3410112[[#This Row],[  65-69]]</f>
        <v>531</v>
      </c>
      <c r="P33" s="5">
        <f>Table34101112131814151623[[#This Row],[  70-74]]-Table3410112[[#This Row],[  70-74]]</f>
        <v>371</v>
      </c>
      <c r="Q33" s="5">
        <f>Table34101112131814151623[[#This Row],[  75-79]]-Table3410112[[#This Row],[  75-79]]</f>
        <v>-243</v>
      </c>
      <c r="R33" s="5">
        <f>Table34101112131814151623[[#This Row],[  80-84]]-Table3410112[[#This Row],[  80-84]]</f>
        <v>-3</v>
      </c>
      <c r="S33" s="5">
        <f>Table34101112131814151623[[#This Row],[  85-89]]-Table3410112[[#This Row],[  85-89]]</f>
        <v>-61</v>
      </c>
      <c r="T33" s="5">
        <f>Table34101112131814151623[[#This Row],[  90+]]-Table3410112[[#This Row],[  90+]]</f>
        <v>21</v>
      </c>
    </row>
    <row r="34" spans="1:20" x14ac:dyDescent="0.2">
      <c r="A34" s="9" t="s">
        <v>11</v>
      </c>
      <c r="B34" s="6" t="s">
        <v>23</v>
      </c>
      <c r="C34" s="5">
        <f>Table34101112131814151623[[#This Row],[Total]]-Table3410112[[#This Row],[Total]]</f>
        <v>8796</v>
      </c>
      <c r="D34" s="5">
        <f>Table34101112131814151623[[#This Row],[  5-11]]-Table3410112[[#This Row],[  5-11]]</f>
        <v>5178.9062109707511</v>
      </c>
      <c r="E34" s="5">
        <f>Table34101112131814151623[[#This Row],[  12-17]]-Table3410112[[#This Row],[  12-17]]</f>
        <v>-531.50773469426531</v>
      </c>
      <c r="F34" s="5">
        <f>Table34101112131814151623[[#This Row],[  18-24]]-Table3410112[[#This Row],[  18-24]]</f>
        <v>-855.39847627648487</v>
      </c>
      <c r="G34" s="5">
        <f>Table34101112131814151623[[#This Row],[  25-29 ]]-Table3410112[[#This Row],[  25-29 ]]</f>
        <v>221</v>
      </c>
      <c r="H34" s="5">
        <f>Table34101112131814151623[[#This Row],[  30-34]]-Table3410112[[#This Row],[  30-34]]</f>
        <v>116</v>
      </c>
      <c r="I34" s="5">
        <f>Table34101112131814151623[[#This Row],[  35-39]]-Table3410112[[#This Row],[  35-39]]</f>
        <v>235</v>
      </c>
      <c r="J34" s="5">
        <f>Table34101112131814151623[[#This Row],[  40-44]]-Table3410112[[#This Row],[  40-44]]</f>
        <v>411</v>
      </c>
      <c r="K34" s="5">
        <f>Table34101112131814151623[[#This Row],[  45-49 ]]-Table3410112[[#This Row],[  45-49 ]]</f>
        <v>608</v>
      </c>
      <c r="L34" s="5">
        <f>Table34101112131814151623[[#This Row],[  50-54]]-Table3410112[[#This Row],[  50-54]]</f>
        <v>780</v>
      </c>
      <c r="M34" s="5">
        <f>Table34101112131814151623[[#This Row],[  55-59]]-Table3410112[[#This Row],[  55-59]]</f>
        <v>815</v>
      </c>
      <c r="N34" s="5">
        <f>Table34101112131814151623[[#This Row],[  60-64]]-Table3410112[[#This Row],[  60-64]]</f>
        <v>656</v>
      </c>
      <c r="O34" s="5">
        <f>Table34101112131814151623[[#This Row],[  65-69]]-Table3410112[[#This Row],[  65-69]]</f>
        <v>634</v>
      </c>
      <c r="P34" s="5">
        <f>Table34101112131814151623[[#This Row],[  70-74]]-Table3410112[[#This Row],[  70-74]]</f>
        <v>469</v>
      </c>
      <c r="Q34" s="5">
        <f>Table34101112131814151623[[#This Row],[  75-79]]-Table3410112[[#This Row],[  75-79]]</f>
        <v>-69</v>
      </c>
      <c r="R34" s="5">
        <f>Table34101112131814151623[[#This Row],[  80-84]]-Table3410112[[#This Row],[  80-84]]</f>
        <v>48</v>
      </c>
      <c r="S34" s="5">
        <f>Table34101112131814151623[[#This Row],[  85-89]]-Table3410112[[#This Row],[  85-89]]</f>
        <v>21</v>
      </c>
      <c r="T34" s="5">
        <f>Table34101112131814151623[[#This Row],[  90+]]-Table3410112[[#This Row],[  90+]]</f>
        <v>59</v>
      </c>
    </row>
    <row r="35" spans="1:20" x14ac:dyDescent="0.2">
      <c r="A35" s="9" t="s">
        <v>12</v>
      </c>
      <c r="B35" s="6" t="s">
        <v>22</v>
      </c>
      <c r="C35" s="5">
        <f>Table34101112131814151623[[#This Row],[Total]]-Table3410112[[#This Row],[Total]]</f>
        <v>-2172</v>
      </c>
      <c r="D35" s="5">
        <f>Table34101112131814151623[[#This Row],[  5-11]]-Table3410112[[#This Row],[  5-11]]</f>
        <v>-17</v>
      </c>
      <c r="E35" s="5">
        <f>Table34101112131814151623[[#This Row],[  12-17]]-Table3410112[[#This Row],[  12-17]]</f>
        <v>-80</v>
      </c>
      <c r="F35" s="5">
        <f>Table34101112131814151623[[#This Row],[  18-24]]-Table3410112[[#This Row],[  18-24]]</f>
        <v>-211</v>
      </c>
      <c r="G35" s="5">
        <f>Table34101112131814151623[[#This Row],[  25-29 ]]-Table3410112[[#This Row],[  25-29 ]]</f>
        <v>-292</v>
      </c>
      <c r="H35" s="5">
        <f>Table34101112131814151623[[#This Row],[  30-34]]-Table3410112[[#This Row],[  30-34]]</f>
        <v>-302</v>
      </c>
      <c r="I35" s="5">
        <f>Table34101112131814151623[[#This Row],[  35-39]]-Table3410112[[#This Row],[  35-39]]</f>
        <v>-242</v>
      </c>
      <c r="J35" s="5">
        <f>Table34101112131814151623[[#This Row],[  40-44]]-Table3410112[[#This Row],[  40-44]]</f>
        <v>-170</v>
      </c>
      <c r="K35" s="5">
        <f>Table34101112131814151623[[#This Row],[  45-49 ]]-Table3410112[[#This Row],[  45-49 ]]</f>
        <v>-168</v>
      </c>
      <c r="L35" s="5">
        <f>Table34101112131814151623[[#This Row],[  50-54]]-Table3410112[[#This Row],[  50-54]]</f>
        <v>-146</v>
      </c>
      <c r="M35" s="5">
        <f>Table34101112131814151623[[#This Row],[  55-59]]-Table3410112[[#This Row],[  55-59]]</f>
        <v>-172</v>
      </c>
      <c r="N35" s="5">
        <f>Table34101112131814151623[[#This Row],[  60-64]]-Table3410112[[#This Row],[  60-64]]</f>
        <v>-136</v>
      </c>
      <c r="O35" s="5">
        <f>Table34101112131814151623[[#This Row],[  65-69]]-Table3410112[[#This Row],[  65-69]]</f>
        <v>-98</v>
      </c>
      <c r="P35" s="5">
        <f>Table34101112131814151623[[#This Row],[  70-74]]-Table3410112[[#This Row],[  70-74]]</f>
        <v>-63</v>
      </c>
      <c r="Q35" s="5">
        <f>Table34101112131814151623[[#This Row],[  75-79]]-Table3410112[[#This Row],[  75-79]]</f>
        <v>-34</v>
      </c>
      <c r="R35" s="5">
        <f>Table34101112131814151623[[#This Row],[  80-84]]-Table3410112[[#This Row],[  80-84]]</f>
        <v>-30</v>
      </c>
      <c r="S35" s="5">
        <f>Table34101112131814151623[[#This Row],[  85-89]]-Table3410112[[#This Row],[  85-89]]</f>
        <v>-6</v>
      </c>
      <c r="T35" s="5">
        <f>Table34101112131814151623[[#This Row],[  90+]]-Table3410112[[#This Row],[  90+]]</f>
        <v>-5</v>
      </c>
    </row>
    <row r="36" spans="1:20" x14ac:dyDescent="0.2">
      <c r="A36" s="9" t="s">
        <v>12</v>
      </c>
      <c r="B36" s="6" t="s">
        <v>0</v>
      </c>
      <c r="C36" s="5">
        <f>Table34101112131814151623[[#This Row],[Total]]-Table3410112[[#This Row],[Total]]</f>
        <v>-1239</v>
      </c>
      <c r="D36" s="5">
        <f>Table34101112131814151623[[#This Row],[  5-11]]-Table3410112[[#This Row],[  5-11]]</f>
        <v>-9</v>
      </c>
      <c r="E36" s="5">
        <f>Table34101112131814151623[[#This Row],[  12-17]]-Table3410112[[#This Row],[  12-17]]</f>
        <v>-38</v>
      </c>
      <c r="F36" s="5">
        <f>Table34101112131814151623[[#This Row],[  18-24]]-Table3410112[[#This Row],[  18-24]]</f>
        <v>-127</v>
      </c>
      <c r="G36" s="5">
        <f>Table34101112131814151623[[#This Row],[  25-29 ]]-Table3410112[[#This Row],[  25-29 ]]</f>
        <v>-188</v>
      </c>
      <c r="H36" s="5">
        <f>Table34101112131814151623[[#This Row],[  30-34]]-Table3410112[[#This Row],[  30-34]]</f>
        <v>-197</v>
      </c>
      <c r="I36" s="5">
        <f>Table34101112131814151623[[#This Row],[  35-39]]-Table3410112[[#This Row],[  35-39]]</f>
        <v>-150</v>
      </c>
      <c r="J36" s="5">
        <f>Table34101112131814151623[[#This Row],[  40-44]]-Table3410112[[#This Row],[  40-44]]</f>
        <v>-113</v>
      </c>
      <c r="K36" s="5">
        <f>Table34101112131814151623[[#This Row],[  45-49 ]]-Table3410112[[#This Row],[  45-49 ]]</f>
        <v>-100</v>
      </c>
      <c r="L36" s="5">
        <f>Table34101112131814151623[[#This Row],[  50-54]]-Table3410112[[#This Row],[  50-54]]</f>
        <v>-65</v>
      </c>
      <c r="M36" s="5">
        <f>Table34101112131814151623[[#This Row],[  55-59]]-Table3410112[[#This Row],[  55-59]]</f>
        <v>-88</v>
      </c>
      <c r="N36" s="5">
        <f>Table34101112131814151623[[#This Row],[  60-64]]-Table3410112[[#This Row],[  60-64]]</f>
        <v>-62</v>
      </c>
      <c r="O36" s="5">
        <f>Table34101112131814151623[[#This Row],[  65-69]]-Table3410112[[#This Row],[  65-69]]</f>
        <v>-44</v>
      </c>
      <c r="P36" s="5">
        <f>Table34101112131814151623[[#This Row],[  70-74]]-Table3410112[[#This Row],[  70-74]]</f>
        <v>-30</v>
      </c>
      <c r="Q36" s="5">
        <f>Table34101112131814151623[[#This Row],[  75-79]]-Table3410112[[#This Row],[  75-79]]</f>
        <v>-19</v>
      </c>
      <c r="R36" s="5">
        <f>Table34101112131814151623[[#This Row],[  80-84]]-Table3410112[[#This Row],[  80-84]]</f>
        <v>-9</v>
      </c>
      <c r="S36" s="5">
        <f>Table34101112131814151623[[#This Row],[  85-89]]-Table3410112[[#This Row],[  85-89]]</f>
        <v>0</v>
      </c>
      <c r="T36" s="5">
        <f>Table34101112131814151623[[#This Row],[  90+]]-Table3410112[[#This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Table34101112131814151623[[#This Row],[Total]]-Table3410112[[#This Row],[Total]]</f>
        <v>-933</v>
      </c>
      <c r="D37" s="5">
        <f>Table34101112131814151623[[#This Row],[  5-11]]-Table3410112[[#This Row],[  5-11]]</f>
        <v>-8</v>
      </c>
      <c r="E37" s="5">
        <f>Table34101112131814151623[[#This Row],[  12-17]]-Table3410112[[#This Row],[  12-17]]</f>
        <v>-42</v>
      </c>
      <c r="F37" s="5">
        <f>Table34101112131814151623[[#This Row],[  18-24]]-Table3410112[[#This Row],[  18-24]]</f>
        <v>-84</v>
      </c>
      <c r="G37" s="5">
        <f>Table34101112131814151623[[#This Row],[  25-29 ]]-Table3410112[[#This Row],[  25-29 ]]</f>
        <v>-104</v>
      </c>
      <c r="H37" s="5">
        <f>Table34101112131814151623[[#This Row],[  30-34]]-Table3410112[[#This Row],[  30-34]]</f>
        <v>-105</v>
      </c>
      <c r="I37" s="5">
        <f>Table34101112131814151623[[#This Row],[  35-39]]-Table3410112[[#This Row],[  35-39]]</f>
        <v>-92</v>
      </c>
      <c r="J37" s="5">
        <f>Table34101112131814151623[[#This Row],[  40-44]]-Table3410112[[#This Row],[  40-44]]</f>
        <v>-57</v>
      </c>
      <c r="K37" s="5">
        <f>Table34101112131814151623[[#This Row],[  45-49 ]]-Table3410112[[#This Row],[  45-49 ]]</f>
        <v>-68</v>
      </c>
      <c r="L37" s="5">
        <f>Table34101112131814151623[[#This Row],[  50-54]]-Table3410112[[#This Row],[  50-54]]</f>
        <v>-81</v>
      </c>
      <c r="M37" s="5">
        <f>Table34101112131814151623[[#This Row],[  55-59]]-Table3410112[[#This Row],[  55-59]]</f>
        <v>-84</v>
      </c>
      <c r="N37" s="5">
        <f>Table34101112131814151623[[#This Row],[  60-64]]-Table3410112[[#This Row],[  60-64]]</f>
        <v>-74</v>
      </c>
      <c r="O37" s="5">
        <f>Table34101112131814151623[[#This Row],[  65-69]]-Table3410112[[#This Row],[  65-69]]</f>
        <v>-54</v>
      </c>
      <c r="P37" s="5">
        <f>Table34101112131814151623[[#This Row],[  70-74]]-Table3410112[[#This Row],[  70-74]]</f>
        <v>-33</v>
      </c>
      <c r="Q37" s="5">
        <f>Table34101112131814151623[[#This Row],[  75-79]]-Table3410112[[#This Row],[  75-79]]</f>
        <v>-15</v>
      </c>
      <c r="R37" s="5">
        <f>Table34101112131814151623[[#This Row],[  80-84]]-Table3410112[[#This Row],[  80-84]]</f>
        <v>-21</v>
      </c>
      <c r="S37" s="5">
        <f>Table34101112131814151623[[#This Row],[  85-89]]-Table3410112[[#This Row],[  85-89]]</f>
        <v>-6</v>
      </c>
      <c r="T37" s="5">
        <f>Table34101112131814151623[[#This Row],[  90+]]-Table3410112[[#This Row],[  90+]]</f>
        <v>-5</v>
      </c>
    </row>
    <row r="38" spans="1:20" x14ac:dyDescent="0.2">
      <c r="A38" s="9" t="s">
        <v>13</v>
      </c>
      <c r="B38" s="6" t="s">
        <v>22</v>
      </c>
      <c r="C38" s="5">
        <f>Table34101112131814151623[[#This Row],[Total]]-Table3410112[[#This Row],[Total]]</f>
        <v>6764</v>
      </c>
      <c r="D38" s="5">
        <f>Table34101112131814151623[[#This Row],[  5-11]]-Table3410112[[#This Row],[  5-11]]</f>
        <v>4337.6208685406355</v>
      </c>
      <c r="E38" s="5">
        <f>Table34101112131814151623[[#This Row],[  12-17]]-Table3410112[[#This Row],[  12-17]]</f>
        <v>-252.54788926567426</v>
      </c>
      <c r="F38" s="5">
        <f>Table34101112131814151623[[#This Row],[  18-24]]-Table3410112[[#This Row],[  18-24]]</f>
        <v>-527.0729792749612</v>
      </c>
      <c r="G38" s="5">
        <f>Table34101112131814151623[[#This Row],[  25-29 ]]-Table3410112[[#This Row],[  25-29 ]]</f>
        <v>351</v>
      </c>
      <c r="H38" s="5">
        <f>Table34101112131814151623[[#This Row],[  30-34]]-Table3410112[[#This Row],[  30-34]]</f>
        <v>355</v>
      </c>
      <c r="I38" s="5">
        <f>Table34101112131814151623[[#This Row],[  35-39]]-Table3410112[[#This Row],[  35-39]]</f>
        <v>168</v>
      </c>
      <c r="J38" s="5">
        <f>Table34101112131814151623[[#This Row],[  40-44]]-Table3410112[[#This Row],[  40-44]]</f>
        <v>381</v>
      </c>
      <c r="K38" s="5">
        <f>Table34101112131814151623[[#This Row],[  45-49 ]]-Table3410112[[#This Row],[  45-49 ]]</f>
        <v>370</v>
      </c>
      <c r="L38" s="5">
        <f>Table34101112131814151623[[#This Row],[  50-54]]-Table3410112[[#This Row],[  50-54]]</f>
        <v>295</v>
      </c>
      <c r="M38" s="5">
        <f>Table34101112131814151623[[#This Row],[  55-59]]-Table3410112[[#This Row],[  55-59]]</f>
        <v>446</v>
      </c>
      <c r="N38" s="5">
        <f>Table34101112131814151623[[#This Row],[  60-64]]-Table3410112[[#This Row],[  60-64]]</f>
        <v>253</v>
      </c>
      <c r="O38" s="5">
        <f>Table34101112131814151623[[#This Row],[  65-69]]-Table3410112[[#This Row],[  65-69]]</f>
        <v>272</v>
      </c>
      <c r="P38" s="5">
        <f>Table34101112131814151623[[#This Row],[  70-74]]-Table3410112[[#This Row],[  70-74]]</f>
        <v>275</v>
      </c>
      <c r="Q38" s="5">
        <f>Table34101112131814151623[[#This Row],[  75-79]]-Table3410112[[#This Row],[  75-79]]</f>
        <v>-69</v>
      </c>
      <c r="R38" s="5">
        <f>Table34101112131814151623[[#This Row],[  80-84]]-Table3410112[[#This Row],[  80-84]]</f>
        <v>-10</v>
      </c>
      <c r="S38" s="5">
        <f>Table34101112131814151623[[#This Row],[  85-89]]-Table3410112[[#This Row],[  85-89]]</f>
        <v>87</v>
      </c>
      <c r="T38" s="5">
        <f>Table34101112131814151623[[#This Row],[  90+]]-Table3410112[[#This Row],[  90+]]</f>
        <v>32</v>
      </c>
    </row>
    <row r="39" spans="1:20" x14ac:dyDescent="0.2">
      <c r="A39" s="9" t="s">
        <v>13</v>
      </c>
      <c r="B39" s="6" t="s">
        <v>0</v>
      </c>
      <c r="C39" s="5">
        <f>Table34101112131814151623[[#This Row],[Total]]-Table3410112[[#This Row],[Total]]</f>
        <v>3223</v>
      </c>
      <c r="D39" s="5">
        <f>Table34101112131814151623[[#This Row],[  5-11]]-Table3410112[[#This Row],[  5-11]]</f>
        <v>2336.5168518742112</v>
      </c>
      <c r="E39" s="5">
        <f>Table34101112131814151623[[#This Row],[  12-17]]-Table3410112[[#This Row],[  12-17]]</f>
        <v>-111.44435786184272</v>
      </c>
      <c r="F39" s="5">
        <f>Table34101112131814151623[[#This Row],[  18-24]]-Table3410112[[#This Row],[  18-24]]</f>
        <v>-358.07249401236822</v>
      </c>
      <c r="G39" s="5">
        <f>Table34101112131814151623[[#This Row],[  25-29 ]]-Table3410112[[#This Row],[  25-29 ]]</f>
        <v>193</v>
      </c>
      <c r="H39" s="5">
        <f>Table34101112131814151623[[#This Row],[  30-34]]-Table3410112[[#This Row],[  30-34]]</f>
        <v>142</v>
      </c>
      <c r="I39" s="5">
        <f>Table34101112131814151623[[#This Row],[  35-39]]-Table3410112[[#This Row],[  35-39]]</f>
        <v>57</v>
      </c>
      <c r="J39" s="5">
        <f>Table34101112131814151623[[#This Row],[  40-44]]-Table3410112[[#This Row],[  40-44]]</f>
        <v>204</v>
      </c>
      <c r="K39" s="5">
        <f>Table34101112131814151623[[#This Row],[  45-49 ]]-Table3410112[[#This Row],[  45-49 ]]</f>
        <v>134</v>
      </c>
      <c r="L39" s="5">
        <f>Table34101112131814151623[[#This Row],[  50-54]]-Table3410112[[#This Row],[  50-54]]</f>
        <v>95</v>
      </c>
      <c r="M39" s="5">
        <f>Table34101112131814151623[[#This Row],[  55-59]]-Table3410112[[#This Row],[  55-59]]</f>
        <v>232</v>
      </c>
      <c r="N39" s="5">
        <f>Table34101112131814151623[[#This Row],[  60-64]]-Table3410112[[#This Row],[  60-64]]</f>
        <v>100</v>
      </c>
      <c r="O39" s="5">
        <f>Table34101112131814151623[[#This Row],[  65-69]]-Table3410112[[#This Row],[  65-69]]</f>
        <v>111</v>
      </c>
      <c r="P39" s="5">
        <f>Table34101112131814151623[[#This Row],[  70-74]]-Table3410112[[#This Row],[  70-74]]</f>
        <v>146</v>
      </c>
      <c r="Q39" s="5">
        <f>Table34101112131814151623[[#This Row],[  75-79]]-Table3410112[[#This Row],[  75-79]]</f>
        <v>-44</v>
      </c>
      <c r="R39" s="5">
        <f>Table34101112131814151623[[#This Row],[  80-84]]-Table3410112[[#This Row],[  80-84]]</f>
        <v>-62</v>
      </c>
      <c r="S39" s="5">
        <f>Table34101112131814151623[[#This Row],[  85-89]]-Table3410112[[#This Row],[  85-89]]</f>
        <v>57</v>
      </c>
      <c r="T39" s="5">
        <f>Table34101112131814151623[[#This Row],[  90+]]-Table3410112[[#This Row],[  90+]]</f>
        <v>-9</v>
      </c>
    </row>
    <row r="40" spans="1:20" x14ac:dyDescent="0.2">
      <c r="A40" s="9" t="s">
        <v>13</v>
      </c>
      <c r="B40" s="6" t="s">
        <v>23</v>
      </c>
      <c r="C40" s="5">
        <f>Table34101112131814151623[[#This Row],[Total]]-Table3410112[[#This Row],[Total]]</f>
        <v>3541</v>
      </c>
      <c r="D40" s="5">
        <f>Table34101112131814151623[[#This Row],[  5-11]]-Table3410112[[#This Row],[  5-11]]</f>
        <v>2000.8572825654296</v>
      </c>
      <c r="E40" s="5">
        <f>Table34101112131814151623[[#This Row],[  12-17]]-Table3410112[[#This Row],[  12-17]]</f>
        <v>-140.75623653939056</v>
      </c>
      <c r="F40" s="5">
        <f>Table34101112131814151623[[#This Row],[  18-24]]-Table3410112[[#This Row],[  18-24]]</f>
        <v>-169.1010460260386</v>
      </c>
      <c r="G40" s="5">
        <f>Table34101112131814151623[[#This Row],[  25-29 ]]-Table3410112[[#This Row],[  25-29 ]]</f>
        <v>158</v>
      </c>
      <c r="H40" s="5">
        <f>Table34101112131814151623[[#This Row],[  30-34]]-Table3410112[[#This Row],[  30-34]]</f>
        <v>213</v>
      </c>
      <c r="I40" s="5">
        <f>Table34101112131814151623[[#This Row],[  35-39]]-Table3410112[[#This Row],[  35-39]]</f>
        <v>111</v>
      </c>
      <c r="J40" s="5">
        <f>Table34101112131814151623[[#This Row],[  40-44]]-Table3410112[[#This Row],[  40-44]]</f>
        <v>177</v>
      </c>
      <c r="K40" s="5">
        <f>Table34101112131814151623[[#This Row],[  45-49 ]]-Table3410112[[#This Row],[  45-49 ]]</f>
        <v>236</v>
      </c>
      <c r="L40" s="5">
        <f>Table34101112131814151623[[#This Row],[  50-54]]-Table3410112[[#This Row],[  50-54]]</f>
        <v>200</v>
      </c>
      <c r="M40" s="5">
        <f>Table34101112131814151623[[#This Row],[  55-59]]-Table3410112[[#This Row],[  55-59]]</f>
        <v>214</v>
      </c>
      <c r="N40" s="5">
        <f>Table34101112131814151623[[#This Row],[  60-64]]-Table3410112[[#This Row],[  60-64]]</f>
        <v>153</v>
      </c>
      <c r="O40" s="5">
        <f>Table34101112131814151623[[#This Row],[  65-69]]-Table3410112[[#This Row],[  65-69]]</f>
        <v>161</v>
      </c>
      <c r="P40" s="5">
        <f>Table34101112131814151623[[#This Row],[  70-74]]-Table3410112[[#This Row],[  70-74]]</f>
        <v>129</v>
      </c>
      <c r="Q40" s="5">
        <f>Table34101112131814151623[[#This Row],[  75-79]]-Table3410112[[#This Row],[  75-79]]</f>
        <v>-25</v>
      </c>
      <c r="R40" s="5">
        <f>Table34101112131814151623[[#This Row],[  80-84]]-Table3410112[[#This Row],[  80-84]]</f>
        <v>52</v>
      </c>
      <c r="S40" s="5">
        <f>Table34101112131814151623[[#This Row],[  85-89]]-Table3410112[[#This Row],[  85-89]]</f>
        <v>30</v>
      </c>
      <c r="T40" s="5">
        <f>Table34101112131814151623[[#This Row],[  90+]]-Table3410112[[#This Row],[  90+]]</f>
        <v>41</v>
      </c>
    </row>
    <row r="41" spans="1:20" x14ac:dyDescent="0.2">
      <c r="A41" s="9" t="s">
        <v>14</v>
      </c>
      <c r="B41" s="6" t="s">
        <v>22</v>
      </c>
      <c r="C41" s="5">
        <f>Table34101112131814151623[[#This Row],[Total]]-Table3410112[[#This Row],[Total]]</f>
        <v>32134</v>
      </c>
      <c r="D41" s="5">
        <f>Table34101112131814151623[[#This Row],[  5-11]]-Table3410112[[#This Row],[  5-11]]</f>
        <v>28871.860080054415</v>
      </c>
      <c r="E41" s="5">
        <f>Table34101112131814151623[[#This Row],[  12-17]]-Table3410112[[#This Row],[  12-17]]</f>
        <v>2802.8364689723967</v>
      </c>
      <c r="F41" s="5">
        <f>Table34101112131814151623[[#This Row],[  18-24]]-Table3410112[[#This Row],[  18-24]]</f>
        <v>-12840.696549026808</v>
      </c>
      <c r="G41" s="5">
        <f>Table34101112131814151623[[#This Row],[  25-29 ]]-Table3410112[[#This Row],[  25-29 ]]</f>
        <v>2038</v>
      </c>
      <c r="H41" s="5">
        <f>Table34101112131814151623[[#This Row],[  30-34]]-Table3410112[[#This Row],[  30-34]]</f>
        <v>711</v>
      </c>
      <c r="I41" s="5">
        <f>Table34101112131814151623[[#This Row],[  35-39]]-Table3410112[[#This Row],[  35-39]]</f>
        <v>841</v>
      </c>
      <c r="J41" s="5">
        <f>Table34101112131814151623[[#This Row],[  40-44]]-Table3410112[[#This Row],[  40-44]]</f>
        <v>979</v>
      </c>
      <c r="K41" s="5">
        <f>Table34101112131814151623[[#This Row],[  45-49 ]]-Table3410112[[#This Row],[  45-49 ]]</f>
        <v>2058</v>
      </c>
      <c r="L41" s="5">
        <f>Table34101112131814151623[[#This Row],[  50-54]]-Table3410112[[#This Row],[  50-54]]</f>
        <v>1405</v>
      </c>
      <c r="M41" s="5">
        <f>Table34101112131814151623[[#This Row],[  55-59]]-Table3410112[[#This Row],[  55-59]]</f>
        <v>2339</v>
      </c>
      <c r="N41" s="5">
        <f>Table34101112131814151623[[#This Row],[  60-64]]-Table3410112[[#This Row],[  60-64]]</f>
        <v>895</v>
      </c>
      <c r="O41" s="5">
        <f>Table34101112131814151623[[#This Row],[  65-69]]-Table3410112[[#This Row],[  65-69]]</f>
        <v>765</v>
      </c>
      <c r="P41" s="5">
        <f>Table34101112131814151623[[#This Row],[  70-74]]-Table3410112[[#This Row],[  70-74]]</f>
        <v>1050</v>
      </c>
      <c r="Q41" s="5">
        <f>Table34101112131814151623[[#This Row],[  75-79]]-Table3410112[[#This Row],[  75-79]]</f>
        <v>-467</v>
      </c>
      <c r="R41" s="5">
        <f>Table34101112131814151623[[#This Row],[  80-84]]-Table3410112[[#This Row],[  80-84]]</f>
        <v>179</v>
      </c>
      <c r="S41" s="5">
        <f>Table34101112131814151623[[#This Row],[  85-89]]-Table3410112[[#This Row],[  85-89]]</f>
        <v>209</v>
      </c>
      <c r="T41" s="5">
        <f>Table34101112131814151623[[#This Row],[  90+]]-Table3410112[[#This Row],[  90+]]</f>
        <v>298</v>
      </c>
    </row>
    <row r="42" spans="1:20" x14ac:dyDescent="0.2">
      <c r="A42" s="9" t="s">
        <v>14</v>
      </c>
      <c r="B42" s="6" t="s">
        <v>0</v>
      </c>
      <c r="C42" s="5">
        <f>Table34101112131814151623[[#This Row],[Total]]-Table3410112[[#This Row],[Total]]</f>
        <v>16091</v>
      </c>
      <c r="D42" s="5">
        <f>Table34101112131814151623[[#This Row],[  5-11]]-Table3410112[[#This Row],[  5-11]]</f>
        <v>14477.315562184089</v>
      </c>
      <c r="E42" s="5">
        <f>Table34101112131814151623[[#This Row],[  12-17]]-Table3410112[[#This Row],[  12-17]]</f>
        <v>1161.7939491277248</v>
      </c>
      <c r="F42" s="5">
        <f>Table34101112131814151623[[#This Row],[  18-24]]-Table3410112[[#This Row],[  18-24]]</f>
        <v>-5671.1095113118135</v>
      </c>
      <c r="G42" s="5">
        <f>Table34101112131814151623[[#This Row],[  25-29 ]]-Table3410112[[#This Row],[  25-29 ]]</f>
        <v>1150</v>
      </c>
      <c r="H42" s="5">
        <f>Table34101112131814151623[[#This Row],[  30-34]]-Table3410112[[#This Row],[  30-34]]</f>
        <v>254</v>
      </c>
      <c r="I42" s="5">
        <f>Table34101112131814151623[[#This Row],[  35-39]]-Table3410112[[#This Row],[  35-39]]</f>
        <v>337</v>
      </c>
      <c r="J42" s="5">
        <f>Table34101112131814151623[[#This Row],[  40-44]]-Table3410112[[#This Row],[  40-44]]</f>
        <v>559</v>
      </c>
      <c r="K42" s="5">
        <f>Table34101112131814151623[[#This Row],[  45-49 ]]-Table3410112[[#This Row],[  45-49 ]]</f>
        <v>1027</v>
      </c>
      <c r="L42" s="5">
        <f>Table34101112131814151623[[#This Row],[  50-54]]-Table3410112[[#This Row],[  50-54]]</f>
        <v>588</v>
      </c>
      <c r="M42" s="5">
        <f>Table34101112131814151623[[#This Row],[  55-59]]-Table3410112[[#This Row],[  55-59]]</f>
        <v>1218</v>
      </c>
      <c r="N42" s="5">
        <f>Table34101112131814151623[[#This Row],[  60-64]]-Table3410112[[#This Row],[  60-64]]</f>
        <v>377</v>
      </c>
      <c r="O42" s="5">
        <f>Table34101112131814151623[[#This Row],[  65-69]]-Table3410112[[#This Row],[  65-69]]</f>
        <v>212</v>
      </c>
      <c r="P42" s="5">
        <f>Table34101112131814151623[[#This Row],[  70-74]]-Table3410112[[#This Row],[  70-74]]</f>
        <v>441</v>
      </c>
      <c r="Q42" s="5">
        <f>Table34101112131814151623[[#This Row],[  75-79]]-Table3410112[[#This Row],[  75-79]]</f>
        <v>-277</v>
      </c>
      <c r="R42" s="5">
        <f>Table34101112131814151623[[#This Row],[  80-84]]-Table3410112[[#This Row],[  80-84]]</f>
        <v>64</v>
      </c>
      <c r="S42" s="5">
        <f>Table34101112131814151623[[#This Row],[  85-89]]-Table3410112[[#This Row],[  85-89]]</f>
        <v>47</v>
      </c>
      <c r="T42" s="5">
        <f>Table34101112131814151623[[#This Row],[  90+]]-Table3410112[[#This Row],[  90+]]</f>
        <v>126</v>
      </c>
    </row>
    <row r="43" spans="1:20" x14ac:dyDescent="0.2">
      <c r="A43" s="9" t="s">
        <v>14</v>
      </c>
      <c r="B43" s="6" t="s">
        <v>23</v>
      </c>
      <c r="C43" s="5">
        <f>Table34101112131814151623[[#This Row],[Total]]-Table3410112[[#This Row],[Total]]</f>
        <v>16043</v>
      </c>
      <c r="D43" s="5">
        <f>Table34101112131814151623[[#This Row],[  5-11]]-Table3410112[[#This Row],[  5-11]]</f>
        <v>14394.188696771944</v>
      </c>
      <c r="E43" s="5">
        <f>Table34101112131814151623[[#This Row],[  12-17]]-Table3410112[[#This Row],[  12-17]]</f>
        <v>1641.1017466134163</v>
      </c>
      <c r="F43" s="5">
        <f>Table34101112131814151623[[#This Row],[  18-24]]-Table3410112[[#This Row],[  18-24]]</f>
        <v>-7169.2904433853582</v>
      </c>
      <c r="G43" s="5">
        <f>Table34101112131814151623[[#This Row],[  25-29 ]]-Table3410112[[#This Row],[  25-29 ]]</f>
        <v>888</v>
      </c>
      <c r="H43" s="5">
        <f>Table34101112131814151623[[#This Row],[  30-34]]-Table3410112[[#This Row],[  30-34]]</f>
        <v>457</v>
      </c>
      <c r="I43" s="5">
        <f>Table34101112131814151623[[#This Row],[  35-39]]-Table3410112[[#This Row],[  35-39]]</f>
        <v>504</v>
      </c>
      <c r="J43" s="5">
        <f>Table34101112131814151623[[#This Row],[  40-44]]-Table3410112[[#This Row],[  40-44]]</f>
        <v>420</v>
      </c>
      <c r="K43" s="5">
        <f>Table34101112131814151623[[#This Row],[  45-49 ]]-Table3410112[[#This Row],[  45-49 ]]</f>
        <v>1031</v>
      </c>
      <c r="L43" s="5">
        <f>Table34101112131814151623[[#This Row],[  50-54]]-Table3410112[[#This Row],[  50-54]]</f>
        <v>817</v>
      </c>
      <c r="M43" s="5">
        <f>Table34101112131814151623[[#This Row],[  55-59]]-Table3410112[[#This Row],[  55-59]]</f>
        <v>1121</v>
      </c>
      <c r="N43" s="5">
        <f>Table34101112131814151623[[#This Row],[  60-64]]-Table3410112[[#This Row],[  60-64]]</f>
        <v>518</v>
      </c>
      <c r="O43" s="5">
        <f>Table34101112131814151623[[#This Row],[  65-69]]-Table3410112[[#This Row],[  65-69]]</f>
        <v>553</v>
      </c>
      <c r="P43" s="5">
        <f>Table34101112131814151623[[#This Row],[  70-74]]-Table3410112[[#This Row],[  70-74]]</f>
        <v>609</v>
      </c>
      <c r="Q43" s="5">
        <f>Table34101112131814151623[[#This Row],[  75-79]]-Table3410112[[#This Row],[  75-79]]</f>
        <v>-190</v>
      </c>
      <c r="R43" s="5">
        <f>Table34101112131814151623[[#This Row],[  80-84]]-Table3410112[[#This Row],[  80-84]]</f>
        <v>115</v>
      </c>
      <c r="S43" s="5">
        <f>Table34101112131814151623[[#This Row],[  85-89]]-Table3410112[[#This Row],[  85-89]]</f>
        <v>162</v>
      </c>
      <c r="T43" s="5">
        <f>Table34101112131814151623[[#This Row],[  90+]]-Table3410112[[#This Row],[  90+]]</f>
        <v>172</v>
      </c>
    </row>
    <row r="44" spans="1:20" x14ac:dyDescent="0.2">
      <c r="A44" s="9" t="s">
        <v>15</v>
      </c>
      <c r="B44" s="6" t="s">
        <v>22</v>
      </c>
      <c r="C44" s="5">
        <f>Table34101112131814151623[[#This Row],[Total]]-Table3410112[[#This Row],[Total]]</f>
        <v>947</v>
      </c>
      <c r="D44" s="5">
        <f>Table34101112131814151623[[#This Row],[  5-11]]-Table3410112[[#This Row],[  5-11]]</f>
        <v>2353.6799205553953</v>
      </c>
      <c r="E44" s="5">
        <f>Table34101112131814151623[[#This Row],[  12-17]]-Table3410112[[#This Row],[  12-17]]</f>
        <v>-577.32714305112222</v>
      </c>
      <c r="F44" s="5">
        <f>Table34101112131814151623[[#This Row],[  18-24]]-Table3410112[[#This Row],[  18-24]]</f>
        <v>-869.35277750427258</v>
      </c>
      <c r="G44" s="5">
        <f>Table34101112131814151623[[#This Row],[  25-29 ]]-Table3410112[[#This Row],[  25-29 ]]</f>
        <v>-145</v>
      </c>
      <c r="H44" s="5">
        <f>Table34101112131814151623[[#This Row],[  30-34]]-Table3410112[[#This Row],[  30-34]]</f>
        <v>-213</v>
      </c>
      <c r="I44" s="5">
        <f>Table34101112131814151623[[#This Row],[  35-39]]-Table3410112[[#This Row],[  35-39]]</f>
        <v>-140</v>
      </c>
      <c r="J44" s="5">
        <f>Table34101112131814151623[[#This Row],[  40-44]]-Table3410112[[#This Row],[  40-44]]</f>
        <v>-17</v>
      </c>
      <c r="K44" s="5">
        <f>Table34101112131814151623[[#This Row],[  45-49 ]]-Table3410112[[#This Row],[  45-49 ]]</f>
        <v>66</v>
      </c>
      <c r="L44" s="5">
        <f>Table34101112131814151623[[#This Row],[  50-54]]-Table3410112[[#This Row],[  50-54]]</f>
        <v>112</v>
      </c>
      <c r="M44" s="5">
        <f>Table34101112131814151623[[#This Row],[  55-59]]-Table3410112[[#This Row],[  55-59]]</f>
        <v>153</v>
      </c>
      <c r="N44" s="5">
        <f>Table34101112131814151623[[#This Row],[  60-64]]-Table3410112[[#This Row],[  60-64]]</f>
        <v>93</v>
      </c>
      <c r="O44" s="5">
        <f>Table34101112131814151623[[#This Row],[  65-69]]-Table3410112[[#This Row],[  65-69]]</f>
        <v>173</v>
      </c>
      <c r="P44" s="5">
        <f>Table34101112131814151623[[#This Row],[  70-74]]-Table3410112[[#This Row],[  70-74]]</f>
        <v>68</v>
      </c>
      <c r="Q44" s="5">
        <f>Table34101112131814151623[[#This Row],[  75-79]]-Table3410112[[#This Row],[  75-79]]</f>
        <v>-54</v>
      </c>
      <c r="R44" s="5">
        <f>Table34101112131814151623[[#This Row],[  80-84]]-Table3410112[[#This Row],[  80-84]]</f>
        <v>-41</v>
      </c>
      <c r="S44" s="5">
        <f>Table34101112131814151623[[#This Row],[  85-89]]-Table3410112[[#This Row],[  85-89]]</f>
        <v>18</v>
      </c>
      <c r="T44" s="5">
        <f>Table34101112131814151623[[#This Row],[  90+]]-Table3410112[[#This Row],[  90+]]</f>
        <v>-33</v>
      </c>
    </row>
    <row r="45" spans="1:20" x14ac:dyDescent="0.2">
      <c r="A45" s="9" t="s">
        <v>15</v>
      </c>
      <c r="B45" s="6" t="s">
        <v>0</v>
      </c>
      <c r="C45" s="5">
        <f>Table34101112131814151623[[#This Row],[Total]]-Table3410112[[#This Row],[Total]]</f>
        <v>441</v>
      </c>
      <c r="D45" s="5">
        <f>Table34101112131814151623[[#This Row],[  5-11]]-Table3410112[[#This Row],[  5-11]]</f>
        <v>1219.9283652980221</v>
      </c>
      <c r="E45" s="5">
        <f>Table34101112131814151623[[#This Row],[  12-17]]-Table3410112[[#This Row],[  12-17]]</f>
        <v>-269.62849296664172</v>
      </c>
      <c r="F45" s="5">
        <f>Table34101112131814151623[[#This Row],[  18-24]]-Table3410112[[#This Row],[  18-24]]</f>
        <v>-494.29987233138058</v>
      </c>
      <c r="G45" s="5">
        <f>Table34101112131814151623[[#This Row],[  25-29 ]]-Table3410112[[#This Row],[  25-29 ]]</f>
        <v>-72</v>
      </c>
      <c r="H45" s="5">
        <f>Table34101112131814151623[[#This Row],[  30-34]]-Table3410112[[#This Row],[  30-34]]</f>
        <v>-156</v>
      </c>
      <c r="I45" s="5">
        <f>Table34101112131814151623[[#This Row],[  35-39]]-Table3410112[[#This Row],[  35-39]]</f>
        <v>-84</v>
      </c>
      <c r="J45" s="5">
        <f>Table34101112131814151623[[#This Row],[  40-44]]-Table3410112[[#This Row],[  40-44]]</f>
        <v>56</v>
      </c>
      <c r="K45" s="5">
        <f>Table34101112131814151623[[#This Row],[  45-49 ]]-Table3410112[[#This Row],[  45-49 ]]</f>
        <v>25</v>
      </c>
      <c r="L45" s="5">
        <f>Table34101112131814151623[[#This Row],[  50-54]]-Table3410112[[#This Row],[  50-54]]</f>
        <v>55</v>
      </c>
      <c r="M45" s="5">
        <f>Table34101112131814151623[[#This Row],[  55-59]]-Table3410112[[#This Row],[  55-59]]</f>
        <v>82</v>
      </c>
      <c r="N45" s="5">
        <f>Table34101112131814151623[[#This Row],[  60-64]]-Table3410112[[#This Row],[  60-64]]</f>
        <v>60</v>
      </c>
      <c r="O45" s="5">
        <f>Table34101112131814151623[[#This Row],[  65-69]]-Table3410112[[#This Row],[  65-69]]</f>
        <v>66</v>
      </c>
      <c r="P45" s="5">
        <f>Table34101112131814151623[[#This Row],[  70-74]]-Table3410112[[#This Row],[  70-74]]</f>
        <v>40</v>
      </c>
      <c r="Q45" s="5">
        <f>Table34101112131814151623[[#This Row],[  75-79]]-Table3410112[[#This Row],[  75-79]]</f>
        <v>-51</v>
      </c>
      <c r="R45" s="5">
        <f>Table34101112131814151623[[#This Row],[  80-84]]-Table3410112[[#This Row],[  80-84]]</f>
        <v>-22</v>
      </c>
      <c r="S45" s="5">
        <f>Table34101112131814151623[[#This Row],[  85-89]]-Table3410112[[#This Row],[  85-89]]</f>
        <v>17</v>
      </c>
      <c r="T45" s="5">
        <f>Table34101112131814151623[[#This Row],[  90+]]-Table3410112[[#This Row],[  90+]]</f>
        <v>-31</v>
      </c>
    </row>
    <row r="46" spans="1:20" x14ac:dyDescent="0.2">
      <c r="A46" s="9" t="s">
        <v>15</v>
      </c>
      <c r="B46" s="6" t="s">
        <v>23</v>
      </c>
      <c r="C46" s="5">
        <f>Table34101112131814151623[[#This Row],[Total]]-Table3410112[[#This Row],[Total]]</f>
        <v>506</v>
      </c>
      <c r="D46" s="5">
        <f>Table34101112131814151623[[#This Row],[  5-11]]-Table3410112[[#This Row],[  5-11]]</f>
        <v>1133.4088513623221</v>
      </c>
      <c r="E46" s="5">
        <f>Table34101112131814151623[[#This Row],[  12-17]]-Table3410112[[#This Row],[  12-17]]</f>
        <v>-307.43978515285698</v>
      </c>
      <c r="F46" s="5">
        <f>Table34101112131814151623[[#This Row],[  18-24]]-Table3410112[[#This Row],[  18-24]]</f>
        <v>-374.96906620946493</v>
      </c>
      <c r="G46" s="5">
        <f>Table34101112131814151623[[#This Row],[  25-29 ]]-Table3410112[[#This Row],[  25-29 ]]</f>
        <v>-73</v>
      </c>
      <c r="H46" s="5">
        <f>Table34101112131814151623[[#This Row],[  30-34]]-Table3410112[[#This Row],[  30-34]]</f>
        <v>-57</v>
      </c>
      <c r="I46" s="5">
        <f>Table34101112131814151623[[#This Row],[  35-39]]-Table3410112[[#This Row],[  35-39]]</f>
        <v>-56</v>
      </c>
      <c r="J46" s="5">
        <f>Table34101112131814151623[[#This Row],[  40-44]]-Table3410112[[#This Row],[  40-44]]</f>
        <v>-73</v>
      </c>
      <c r="K46" s="5">
        <f>Table34101112131814151623[[#This Row],[  45-49 ]]-Table3410112[[#This Row],[  45-49 ]]</f>
        <v>41</v>
      </c>
      <c r="L46" s="5">
        <f>Table34101112131814151623[[#This Row],[  50-54]]-Table3410112[[#This Row],[  50-54]]</f>
        <v>57</v>
      </c>
      <c r="M46" s="5">
        <f>Table34101112131814151623[[#This Row],[  55-59]]-Table3410112[[#This Row],[  55-59]]</f>
        <v>71</v>
      </c>
      <c r="N46" s="5">
        <f>Table34101112131814151623[[#This Row],[  60-64]]-Table3410112[[#This Row],[  60-64]]</f>
        <v>33</v>
      </c>
      <c r="O46" s="5">
        <f>Table34101112131814151623[[#This Row],[  65-69]]-Table3410112[[#This Row],[  65-69]]</f>
        <v>107</v>
      </c>
      <c r="P46" s="5">
        <f>Table34101112131814151623[[#This Row],[  70-74]]-Table3410112[[#This Row],[  70-74]]</f>
        <v>28</v>
      </c>
      <c r="Q46" s="5">
        <f>Table34101112131814151623[[#This Row],[  75-79]]-Table3410112[[#This Row],[  75-79]]</f>
        <v>-3</v>
      </c>
      <c r="R46" s="5">
        <f>Table34101112131814151623[[#This Row],[  80-84]]-Table3410112[[#This Row],[  80-84]]</f>
        <v>-19</v>
      </c>
      <c r="S46" s="5">
        <f>Table34101112131814151623[[#This Row],[  85-89]]-Table3410112[[#This Row],[  85-89]]</f>
        <v>1</v>
      </c>
      <c r="T46" s="5">
        <f>Table34101112131814151623[[#This Row],[  90+]]-Table3410112[[#This Row],[  90+]]</f>
        <v>-2</v>
      </c>
    </row>
    <row r="47" spans="1:20" x14ac:dyDescent="0.2">
      <c r="A47" s="9" t="s">
        <v>16</v>
      </c>
      <c r="B47" s="6" t="s">
        <v>22</v>
      </c>
      <c r="C47" s="5">
        <f>Table34101112131814151623[[#This Row],[Total]]-Table3410112[[#This Row],[Total]]</f>
        <v>11006</v>
      </c>
      <c r="D47" s="5">
        <f>Table34101112131814151623[[#This Row],[  5-11]]-Table3410112[[#This Row],[  5-11]]</f>
        <v>8407.3350391234944</v>
      </c>
      <c r="E47" s="5">
        <f>Table34101112131814151623[[#This Row],[  12-17]]-Table3410112[[#This Row],[  12-17]]</f>
        <v>-839.81308275150604</v>
      </c>
      <c r="F47" s="5">
        <f>Table34101112131814151623[[#This Row],[  18-24]]-Table3410112[[#This Row],[  18-24]]</f>
        <v>-1289.5219563719893</v>
      </c>
      <c r="G47" s="5">
        <f>Table34101112131814151623[[#This Row],[  25-29 ]]-Table3410112[[#This Row],[  25-29 ]]</f>
        <v>681</v>
      </c>
      <c r="H47" s="5">
        <f>Table34101112131814151623[[#This Row],[  30-34]]-Table3410112[[#This Row],[  30-34]]</f>
        <v>445</v>
      </c>
      <c r="I47" s="5">
        <f>Table34101112131814151623[[#This Row],[  35-39]]-Table3410112[[#This Row],[  35-39]]</f>
        <v>461</v>
      </c>
      <c r="J47" s="5">
        <f>Table34101112131814151623[[#This Row],[  40-44]]-Table3410112[[#This Row],[  40-44]]</f>
        <v>509</v>
      </c>
      <c r="K47" s="5">
        <f>Table34101112131814151623[[#This Row],[  45-49 ]]-Table3410112[[#This Row],[  45-49 ]]</f>
        <v>760</v>
      </c>
      <c r="L47" s="5">
        <f>Table34101112131814151623[[#This Row],[  50-54]]-Table3410112[[#This Row],[  50-54]]</f>
        <v>552</v>
      </c>
      <c r="M47" s="5">
        <f>Table34101112131814151623[[#This Row],[  55-59]]-Table3410112[[#This Row],[  55-59]]</f>
        <v>871</v>
      </c>
      <c r="N47" s="5">
        <f>Table34101112131814151623[[#This Row],[  60-64]]-Table3410112[[#This Row],[  60-64]]</f>
        <v>324</v>
      </c>
      <c r="O47" s="5">
        <f>Table34101112131814151623[[#This Row],[  65-69]]-Table3410112[[#This Row],[  65-69]]</f>
        <v>94</v>
      </c>
      <c r="P47" s="5">
        <f>Table34101112131814151623[[#This Row],[  70-74]]-Table3410112[[#This Row],[  70-74]]</f>
        <v>216</v>
      </c>
      <c r="Q47" s="5">
        <f>Table34101112131814151623[[#This Row],[  75-79]]-Table3410112[[#This Row],[  75-79]]</f>
        <v>-170</v>
      </c>
      <c r="R47" s="5">
        <f>Table34101112131814151623[[#This Row],[  80-84]]-Table3410112[[#This Row],[  80-84]]</f>
        <v>-17</v>
      </c>
      <c r="S47" s="5">
        <f>Table34101112131814151623[[#This Row],[  85-89]]-Table3410112[[#This Row],[  85-89]]</f>
        <v>29</v>
      </c>
      <c r="T47" s="5">
        <f>Table34101112131814151623[[#This Row],[  90+]]-Table3410112[[#This Row],[  90+]]</f>
        <v>-27</v>
      </c>
    </row>
    <row r="48" spans="1:20" x14ac:dyDescent="0.2">
      <c r="A48" s="9" t="s">
        <v>16</v>
      </c>
      <c r="B48" s="6" t="s">
        <v>0</v>
      </c>
      <c r="C48" s="5">
        <f>Table34101112131814151623[[#This Row],[Total]]-Table3410112[[#This Row],[Total]]</f>
        <v>5696</v>
      </c>
      <c r="D48" s="5">
        <f>Table34101112131814151623[[#This Row],[  5-11]]-Table3410112[[#This Row],[  5-11]]</f>
        <v>4456.1321493006908</v>
      </c>
      <c r="E48" s="5">
        <f>Table34101112131814151623[[#This Row],[  12-17]]-Table3410112[[#This Row],[  12-17]]</f>
        <v>-289.43146209016413</v>
      </c>
      <c r="F48" s="5">
        <f>Table34101112131814151623[[#This Row],[  18-24]]-Table3410112[[#This Row],[  18-24]]</f>
        <v>-729.70068721052667</v>
      </c>
      <c r="G48" s="5">
        <f>Table34101112131814151623[[#This Row],[  25-29 ]]-Table3410112[[#This Row],[  25-29 ]]</f>
        <v>349</v>
      </c>
      <c r="H48" s="5">
        <f>Table34101112131814151623[[#This Row],[  30-34]]-Table3410112[[#This Row],[  30-34]]</f>
        <v>294</v>
      </c>
      <c r="I48" s="5">
        <f>Table34101112131814151623[[#This Row],[  35-39]]-Table3410112[[#This Row],[  35-39]]</f>
        <v>260</v>
      </c>
      <c r="J48" s="5">
        <f>Table34101112131814151623[[#This Row],[  40-44]]-Table3410112[[#This Row],[  40-44]]</f>
        <v>230</v>
      </c>
      <c r="K48" s="5">
        <f>Table34101112131814151623[[#This Row],[  45-49 ]]-Table3410112[[#This Row],[  45-49 ]]</f>
        <v>344</v>
      </c>
      <c r="L48" s="5">
        <f>Table34101112131814151623[[#This Row],[  50-54]]-Table3410112[[#This Row],[  50-54]]</f>
        <v>293</v>
      </c>
      <c r="M48" s="5">
        <f>Table34101112131814151623[[#This Row],[  55-59]]-Table3410112[[#This Row],[  55-59]]</f>
        <v>417</v>
      </c>
      <c r="N48" s="5">
        <f>Table34101112131814151623[[#This Row],[  60-64]]-Table3410112[[#This Row],[  60-64]]</f>
        <v>113</v>
      </c>
      <c r="O48" s="5">
        <f>Table34101112131814151623[[#This Row],[  65-69]]-Table3410112[[#This Row],[  65-69]]</f>
        <v>50</v>
      </c>
      <c r="P48" s="5">
        <f>Table34101112131814151623[[#This Row],[  70-74]]-Table3410112[[#This Row],[  70-74]]</f>
        <v>93</v>
      </c>
      <c r="Q48" s="5">
        <f>Table34101112131814151623[[#This Row],[  75-79]]-Table3410112[[#This Row],[  75-79]]</f>
        <v>-78</v>
      </c>
      <c r="R48" s="5">
        <f>Table34101112131814151623[[#This Row],[  80-84]]-Table3410112[[#This Row],[  80-84]]</f>
        <v>-52</v>
      </c>
      <c r="S48" s="5">
        <f>Table34101112131814151623[[#This Row],[  85-89]]-Table3410112[[#This Row],[  85-89]]</f>
        <v>-15</v>
      </c>
      <c r="T48" s="5">
        <f>Table34101112131814151623[[#This Row],[  90+]]-Table3410112[[#This Row],[  90+]]</f>
        <v>-39</v>
      </c>
    </row>
    <row r="49" spans="1:20" x14ac:dyDescent="0.2">
      <c r="A49" s="9" t="s">
        <v>16</v>
      </c>
      <c r="B49" s="6" t="s">
        <v>23</v>
      </c>
      <c r="C49" s="5">
        <f>Table34101112131814151623[[#This Row],[Total]]-Table3410112[[#This Row],[Total]]</f>
        <v>5310</v>
      </c>
      <c r="D49" s="5">
        <f>Table34101112131814151623[[#This Row],[  5-11]]-Table3410112[[#This Row],[  5-11]]</f>
        <v>3950.5499431243097</v>
      </c>
      <c r="E49" s="5">
        <f>Table34101112131814151623[[#This Row],[  12-17]]-Table3410112[[#This Row],[  12-17]]</f>
        <v>-549.65825717478128</v>
      </c>
      <c r="F49" s="5">
        <f>Table34101112131814151623[[#This Row],[  18-24]]-Table3410112[[#This Row],[  18-24]]</f>
        <v>-559.89168594952753</v>
      </c>
      <c r="G49" s="5">
        <f>Table34101112131814151623[[#This Row],[  25-29 ]]-Table3410112[[#This Row],[  25-29 ]]</f>
        <v>332</v>
      </c>
      <c r="H49" s="5">
        <f>Table34101112131814151623[[#This Row],[  30-34]]-Table3410112[[#This Row],[  30-34]]</f>
        <v>151</v>
      </c>
      <c r="I49" s="5">
        <f>Table34101112131814151623[[#This Row],[  35-39]]-Table3410112[[#This Row],[  35-39]]</f>
        <v>201</v>
      </c>
      <c r="J49" s="5">
        <f>Table34101112131814151623[[#This Row],[  40-44]]-Table3410112[[#This Row],[  40-44]]</f>
        <v>279</v>
      </c>
      <c r="K49" s="5">
        <f>Table34101112131814151623[[#This Row],[  45-49 ]]-Table3410112[[#This Row],[  45-49 ]]</f>
        <v>416</v>
      </c>
      <c r="L49" s="5">
        <f>Table34101112131814151623[[#This Row],[  50-54]]-Table3410112[[#This Row],[  50-54]]</f>
        <v>259</v>
      </c>
      <c r="M49" s="5">
        <f>Table34101112131814151623[[#This Row],[  55-59]]-Table3410112[[#This Row],[  55-59]]</f>
        <v>454</v>
      </c>
      <c r="N49" s="5">
        <f>Table34101112131814151623[[#This Row],[  60-64]]-Table3410112[[#This Row],[  60-64]]</f>
        <v>211</v>
      </c>
      <c r="O49" s="5">
        <f>Table34101112131814151623[[#This Row],[  65-69]]-Table3410112[[#This Row],[  65-69]]</f>
        <v>44</v>
      </c>
      <c r="P49" s="5">
        <f>Table34101112131814151623[[#This Row],[  70-74]]-Table3410112[[#This Row],[  70-74]]</f>
        <v>123</v>
      </c>
      <c r="Q49" s="5">
        <f>Table34101112131814151623[[#This Row],[  75-79]]-Table3410112[[#This Row],[  75-79]]</f>
        <v>-92</v>
      </c>
      <c r="R49" s="5">
        <f>Table34101112131814151623[[#This Row],[  80-84]]-Table3410112[[#This Row],[  80-84]]</f>
        <v>35</v>
      </c>
      <c r="S49" s="5">
        <f>Table34101112131814151623[[#This Row],[  85-89]]-Table3410112[[#This Row],[  85-89]]</f>
        <v>44</v>
      </c>
      <c r="T49" s="5">
        <f>Table34101112131814151623[[#This Row],[  90+]]-Table3410112[[#This Row],[  90+]]</f>
        <v>12</v>
      </c>
    </row>
    <row r="50" spans="1:20" x14ac:dyDescent="0.2">
      <c r="A50" s="11" t="s">
        <v>17</v>
      </c>
      <c r="B50" s="6" t="s">
        <v>22</v>
      </c>
      <c r="C50" s="5">
        <f>Table34101112131814151623[[#This Row],[Total]]-Table3410112[[#This Row],[Total]]</f>
        <v>36998</v>
      </c>
      <c r="D50" s="5">
        <f>Table34101112131814151623[[#This Row],[  5-11]]-Table3410112[[#This Row],[  5-11]]</f>
        <v>31623.028556768026</v>
      </c>
      <c r="E50" s="5">
        <f>Table34101112131814151623[[#This Row],[  12-17]]-Table3410112[[#This Row],[  12-17]]</f>
        <v>-1143.894982116748</v>
      </c>
      <c r="F50" s="5">
        <f>Table34101112131814151623[[#This Row],[  18-24]]-Table3410112[[#This Row],[  18-24]]</f>
        <v>-7447.1335746512705</v>
      </c>
      <c r="G50" s="5">
        <f>Table34101112131814151623[[#This Row],[  25-29 ]]-Table3410112[[#This Row],[  25-29 ]]</f>
        <v>1177</v>
      </c>
      <c r="H50" s="5">
        <f>Table34101112131814151623[[#This Row],[  30-34]]-Table3410112[[#This Row],[  30-34]]</f>
        <v>-165</v>
      </c>
      <c r="I50" s="5">
        <f>Table34101112131814151623[[#This Row],[  35-39]]-Table3410112[[#This Row],[  35-39]]</f>
        <v>594</v>
      </c>
      <c r="J50" s="5">
        <f>Table34101112131814151623[[#This Row],[  40-44]]-Table3410112[[#This Row],[  40-44]]</f>
        <v>1149</v>
      </c>
      <c r="K50" s="5">
        <f>Table34101112131814151623[[#This Row],[  45-49 ]]-Table3410112[[#This Row],[  45-49 ]]</f>
        <v>2476</v>
      </c>
      <c r="L50" s="5">
        <f>Table34101112131814151623[[#This Row],[  50-54]]-Table3410112[[#This Row],[  50-54]]</f>
        <v>2085</v>
      </c>
      <c r="M50" s="5">
        <f>Table34101112131814151623[[#This Row],[  55-59]]-Table3410112[[#This Row],[  55-59]]</f>
        <v>2589</v>
      </c>
      <c r="N50" s="5">
        <f>Table34101112131814151623[[#This Row],[  60-64]]-Table3410112[[#This Row],[  60-64]]</f>
        <v>1503</v>
      </c>
      <c r="O50" s="5">
        <f>Table34101112131814151623[[#This Row],[  65-69]]-Table3410112[[#This Row],[  65-69]]</f>
        <v>1233</v>
      </c>
      <c r="P50" s="5">
        <f>Table34101112131814151623[[#This Row],[  70-74]]-Table3410112[[#This Row],[  70-74]]</f>
        <v>1348</v>
      </c>
      <c r="Q50" s="5">
        <f>Table34101112131814151623[[#This Row],[  75-79]]-Table3410112[[#This Row],[  75-79]]</f>
        <v>-224</v>
      </c>
      <c r="R50" s="5">
        <f>Table34101112131814151623[[#This Row],[  80-84]]-Table3410112[[#This Row],[  80-84]]</f>
        <v>-28</v>
      </c>
      <c r="S50" s="5">
        <f>Table34101112131814151623[[#This Row],[  85-89]]-Table3410112[[#This Row],[  85-89]]</f>
        <v>99</v>
      </c>
      <c r="T50" s="5">
        <f>Table34101112131814151623[[#This Row],[  90+]]-Table3410112[[#This Row],[  90+]]</f>
        <v>130</v>
      </c>
    </row>
    <row r="51" spans="1:20" x14ac:dyDescent="0.2">
      <c r="A51" s="11" t="s">
        <v>17</v>
      </c>
      <c r="B51" s="6" t="s">
        <v>0</v>
      </c>
      <c r="C51" s="5">
        <f>Table34101112131814151623[[#This Row],[Total]]-Table3410112[[#This Row],[Total]]</f>
        <v>17807</v>
      </c>
      <c r="D51" s="5">
        <f>Table34101112131814151623[[#This Row],[  5-11]]-Table3410112[[#This Row],[  5-11]]</f>
        <v>16253.345976684082</v>
      </c>
      <c r="E51" s="5">
        <f>Table34101112131814151623[[#This Row],[  12-17]]-Table3410112[[#This Row],[  12-17]]</f>
        <v>-502.87025757375341</v>
      </c>
      <c r="F51" s="5">
        <f>Table34101112131814151623[[#This Row],[  18-24]]-Table3410112[[#This Row],[  18-24]]</f>
        <v>-3865.4757191103326</v>
      </c>
      <c r="G51" s="5">
        <f>Table34101112131814151623[[#This Row],[  25-29 ]]-Table3410112[[#This Row],[  25-29 ]]</f>
        <v>542</v>
      </c>
      <c r="H51" s="5">
        <f>Table34101112131814151623[[#This Row],[  30-34]]-Table3410112[[#This Row],[  30-34]]</f>
        <v>-219</v>
      </c>
      <c r="I51" s="5">
        <f>Table34101112131814151623[[#This Row],[  35-39]]-Table3410112[[#This Row],[  35-39]]</f>
        <v>265</v>
      </c>
      <c r="J51" s="5">
        <f>Table34101112131814151623[[#This Row],[  40-44]]-Table3410112[[#This Row],[  40-44]]</f>
        <v>558</v>
      </c>
      <c r="K51" s="5">
        <f>Table34101112131814151623[[#This Row],[  45-49 ]]-Table3410112[[#This Row],[  45-49 ]]</f>
        <v>1112</v>
      </c>
      <c r="L51" s="5">
        <f>Table34101112131814151623[[#This Row],[  50-54]]-Table3410112[[#This Row],[  50-54]]</f>
        <v>958</v>
      </c>
      <c r="M51" s="5">
        <f>Table34101112131814151623[[#This Row],[  55-59]]-Table3410112[[#This Row],[  55-59]]</f>
        <v>1213</v>
      </c>
      <c r="N51" s="5">
        <f>Table34101112131814151623[[#This Row],[  60-64]]-Table3410112[[#This Row],[  60-64]]</f>
        <v>531</v>
      </c>
      <c r="O51" s="5">
        <f>Table34101112131814151623[[#This Row],[  65-69]]-Table3410112[[#This Row],[  65-69]]</f>
        <v>624</v>
      </c>
      <c r="P51" s="5">
        <f>Table34101112131814151623[[#This Row],[  70-74]]-Table3410112[[#This Row],[  70-74]]</f>
        <v>606</v>
      </c>
      <c r="Q51" s="5">
        <f>Table34101112131814151623[[#This Row],[  75-79]]-Table3410112[[#This Row],[  75-79]]</f>
        <v>-265</v>
      </c>
      <c r="R51" s="5">
        <f>Table34101112131814151623[[#This Row],[  80-84]]-Table3410112[[#This Row],[  80-84]]</f>
        <v>-54</v>
      </c>
      <c r="S51" s="5">
        <f>Table34101112131814151623[[#This Row],[  85-89]]-Table3410112[[#This Row],[  85-89]]</f>
        <v>41</v>
      </c>
      <c r="T51" s="5">
        <f>Table34101112131814151623[[#This Row],[  90+]]-Table3410112[[#This Row],[  90+]]</f>
        <v>10</v>
      </c>
    </row>
    <row r="52" spans="1:20" x14ac:dyDescent="0.2">
      <c r="A52" s="11" t="s">
        <v>17</v>
      </c>
      <c r="B52" s="6" t="s">
        <v>23</v>
      </c>
      <c r="C52" s="5">
        <f>Table34101112131814151623[[#This Row],[Total]]-Table3410112[[#This Row],[Total]]</f>
        <v>19191</v>
      </c>
      <c r="D52" s="5">
        <f>Table34101112131814151623[[#This Row],[  5-11]]-Table3410112[[#This Row],[  5-11]]</f>
        <v>15368.07273076057</v>
      </c>
      <c r="E52" s="5">
        <f>Table34101112131814151623[[#This Row],[  12-17]]-Table3410112[[#This Row],[  12-17]]</f>
        <v>-639.66680917107806</v>
      </c>
      <c r="F52" s="5">
        <f>Table34101112131814151623[[#This Row],[  18-24]]-Table3410112[[#This Row],[  18-24]]</f>
        <v>-3581.405921589494</v>
      </c>
      <c r="G52" s="5">
        <f>Table34101112131814151623[[#This Row],[  25-29 ]]-Table3410112[[#This Row],[  25-29 ]]</f>
        <v>635</v>
      </c>
      <c r="H52" s="5">
        <f>Table34101112131814151623[[#This Row],[  30-34]]-Table3410112[[#This Row],[  30-34]]</f>
        <v>54</v>
      </c>
      <c r="I52" s="5">
        <f>Table34101112131814151623[[#This Row],[  35-39]]-Table3410112[[#This Row],[  35-39]]</f>
        <v>329</v>
      </c>
      <c r="J52" s="5">
        <f>Table34101112131814151623[[#This Row],[  40-44]]-Table3410112[[#This Row],[  40-44]]</f>
        <v>591</v>
      </c>
      <c r="K52" s="5">
        <f>Table34101112131814151623[[#This Row],[  45-49 ]]-Table3410112[[#This Row],[  45-49 ]]</f>
        <v>1364</v>
      </c>
      <c r="L52" s="5">
        <f>Table34101112131814151623[[#This Row],[  50-54]]-Table3410112[[#This Row],[  50-54]]</f>
        <v>1127</v>
      </c>
      <c r="M52" s="5">
        <f>Table34101112131814151623[[#This Row],[  55-59]]-Table3410112[[#This Row],[  55-59]]</f>
        <v>1376</v>
      </c>
      <c r="N52" s="5">
        <f>Table34101112131814151623[[#This Row],[  60-64]]-Table3410112[[#This Row],[  60-64]]</f>
        <v>972</v>
      </c>
      <c r="O52" s="5">
        <f>Table34101112131814151623[[#This Row],[  65-69]]-Table3410112[[#This Row],[  65-69]]</f>
        <v>609</v>
      </c>
      <c r="P52" s="5">
        <f>Table34101112131814151623[[#This Row],[  70-74]]-Table3410112[[#This Row],[  70-74]]</f>
        <v>742</v>
      </c>
      <c r="Q52" s="5">
        <f>Table34101112131814151623[[#This Row],[  75-79]]-Table3410112[[#This Row],[  75-79]]</f>
        <v>41</v>
      </c>
      <c r="R52" s="5">
        <f>Table34101112131814151623[[#This Row],[  80-84]]-Table3410112[[#This Row],[  80-84]]</f>
        <v>26</v>
      </c>
      <c r="S52" s="5">
        <f>Table34101112131814151623[[#This Row],[  85-89]]-Table3410112[[#This Row],[  85-89]]</f>
        <v>58</v>
      </c>
      <c r="T52" s="5">
        <f>Table34101112131814151623[[#This Row],[  90+]]-Table3410112[[#This Row],[  90+]]</f>
        <v>120</v>
      </c>
    </row>
    <row r="53" spans="1:20" x14ac:dyDescent="0.2">
      <c r="A53" s="9" t="s">
        <v>18</v>
      </c>
      <c r="B53" s="6" t="s">
        <v>22</v>
      </c>
      <c r="C53" s="5">
        <f>Table34101112131814151623[[#This Row],[Total]]-Table3410112[[#This Row],[Total]]</f>
        <v>4423</v>
      </c>
      <c r="D53" s="5">
        <f>Table34101112131814151623[[#This Row],[  5-11]]-Table3410112[[#This Row],[  5-11]]</f>
        <v>3084.6879335767617</v>
      </c>
      <c r="E53" s="5">
        <f>Table34101112131814151623[[#This Row],[  12-17]]-Table3410112[[#This Row],[  12-17]]</f>
        <v>-313.02364626120197</v>
      </c>
      <c r="F53" s="5">
        <f>Table34101112131814151623[[#This Row],[  18-24]]-Table3410112[[#This Row],[  18-24]]</f>
        <v>-423.66428731555925</v>
      </c>
      <c r="G53" s="5">
        <f>Table34101112131814151623[[#This Row],[  25-29 ]]-Table3410112[[#This Row],[  25-29 ]]</f>
        <v>183</v>
      </c>
      <c r="H53" s="5">
        <f>Table34101112131814151623[[#This Row],[  30-34]]-Table3410112[[#This Row],[  30-34]]</f>
        <v>-9</v>
      </c>
      <c r="I53" s="5">
        <f>Table34101112131814151623[[#This Row],[  35-39]]-Table3410112[[#This Row],[  35-39]]</f>
        <v>177</v>
      </c>
      <c r="J53" s="5">
        <f>Table34101112131814151623[[#This Row],[  40-44]]-Table3410112[[#This Row],[  40-44]]</f>
        <v>245</v>
      </c>
      <c r="K53" s="5">
        <f>Table34101112131814151623[[#This Row],[  45-49 ]]-Table3410112[[#This Row],[  45-49 ]]</f>
        <v>431</v>
      </c>
      <c r="L53" s="5">
        <f>Table34101112131814151623[[#This Row],[  50-54]]-Table3410112[[#This Row],[  50-54]]</f>
        <v>158</v>
      </c>
      <c r="M53" s="5">
        <f>Table34101112131814151623[[#This Row],[  55-59]]-Table3410112[[#This Row],[  55-59]]</f>
        <v>285</v>
      </c>
      <c r="N53" s="5">
        <f>Table34101112131814151623[[#This Row],[  60-64]]-Table3410112[[#This Row],[  60-64]]</f>
        <v>69</v>
      </c>
      <c r="O53" s="5">
        <f>Table34101112131814151623[[#This Row],[  65-69]]-Table3410112[[#This Row],[  65-69]]</f>
        <v>217</v>
      </c>
      <c r="P53" s="5">
        <f>Table34101112131814151623[[#This Row],[  70-74]]-Table3410112[[#This Row],[  70-74]]</f>
        <v>225</v>
      </c>
      <c r="Q53" s="5">
        <f>Table34101112131814151623[[#This Row],[  75-79]]-Table3410112[[#This Row],[  75-79]]</f>
        <v>26</v>
      </c>
      <c r="R53" s="5">
        <f>Table34101112131814151623[[#This Row],[  80-84]]-Table3410112[[#This Row],[  80-84]]</f>
        <v>-5</v>
      </c>
      <c r="S53" s="5">
        <f>Table34101112131814151623[[#This Row],[  85-89]]-Table3410112[[#This Row],[  85-89]]</f>
        <v>46</v>
      </c>
      <c r="T53" s="5">
        <f>Table34101112131814151623[[#This Row],[  90+]]-Table3410112[[#This Row],[  90+]]</f>
        <v>27</v>
      </c>
    </row>
    <row r="54" spans="1:20" x14ac:dyDescent="0.2">
      <c r="A54" s="9" t="s">
        <v>18</v>
      </c>
      <c r="B54" s="6" t="s">
        <v>0</v>
      </c>
      <c r="C54" s="5">
        <f>Table34101112131814151623[[#This Row],[Total]]-Table3410112[[#This Row],[Total]]</f>
        <v>2228</v>
      </c>
      <c r="D54" s="5">
        <f>Table34101112131814151623[[#This Row],[  5-11]]-Table3410112[[#This Row],[  5-11]]</f>
        <v>1621.2211927323428</v>
      </c>
      <c r="E54" s="5">
        <f>Table34101112131814151623[[#This Row],[  12-17]]-Table3410112[[#This Row],[  12-17]]</f>
        <v>-137.95392263749909</v>
      </c>
      <c r="F54" s="5">
        <f>Table34101112131814151623[[#This Row],[  18-24]]-Table3410112[[#This Row],[  18-24]]</f>
        <v>-251.26727009484352</v>
      </c>
      <c r="G54" s="5">
        <f>Table34101112131814151623[[#This Row],[  25-29 ]]-Table3410112[[#This Row],[  25-29 ]]</f>
        <v>63</v>
      </c>
      <c r="H54" s="5">
        <f>Table34101112131814151623[[#This Row],[  30-34]]-Table3410112[[#This Row],[  30-34]]</f>
        <v>57</v>
      </c>
      <c r="I54" s="5">
        <f>Table34101112131814151623[[#This Row],[  35-39]]-Table3410112[[#This Row],[  35-39]]</f>
        <v>78</v>
      </c>
      <c r="J54" s="5">
        <f>Table34101112131814151623[[#This Row],[  40-44]]-Table3410112[[#This Row],[  40-44]]</f>
        <v>129</v>
      </c>
      <c r="K54" s="5">
        <f>Table34101112131814151623[[#This Row],[  45-49 ]]-Table3410112[[#This Row],[  45-49 ]]</f>
        <v>202</v>
      </c>
      <c r="L54" s="5">
        <f>Table34101112131814151623[[#This Row],[  50-54]]-Table3410112[[#This Row],[  50-54]]</f>
        <v>66</v>
      </c>
      <c r="M54" s="5">
        <f>Table34101112131814151623[[#This Row],[  55-59]]-Table3410112[[#This Row],[  55-59]]</f>
        <v>157</v>
      </c>
      <c r="N54" s="5">
        <f>Table34101112131814151623[[#This Row],[  60-64]]-Table3410112[[#This Row],[  60-64]]</f>
        <v>31</v>
      </c>
      <c r="O54" s="5">
        <f>Table34101112131814151623[[#This Row],[  65-69]]-Table3410112[[#This Row],[  65-69]]</f>
        <v>108</v>
      </c>
      <c r="P54" s="5">
        <f>Table34101112131814151623[[#This Row],[  70-74]]-Table3410112[[#This Row],[  70-74]]</f>
        <v>67</v>
      </c>
      <c r="Q54" s="5">
        <f>Table34101112131814151623[[#This Row],[  75-79]]-Table3410112[[#This Row],[  75-79]]</f>
        <v>33</v>
      </c>
      <c r="R54" s="5">
        <f>Table34101112131814151623[[#This Row],[  80-84]]-Table3410112[[#This Row],[  80-84]]</f>
        <v>-21</v>
      </c>
      <c r="S54" s="5">
        <f>Table34101112131814151623[[#This Row],[  85-89]]-Table3410112[[#This Row],[  85-89]]</f>
        <v>37</v>
      </c>
      <c r="T54" s="5">
        <f>Table34101112131814151623[[#This Row],[  90+]]-Table3410112[[#This Row],[  90+]]</f>
        <v>-11</v>
      </c>
    </row>
    <row r="55" spans="1:20" x14ac:dyDescent="0.2">
      <c r="A55" s="9" t="s">
        <v>18</v>
      </c>
      <c r="B55" s="6" t="s">
        <v>23</v>
      </c>
      <c r="C55" s="5">
        <f>Table34101112131814151623[[#This Row],[Total]]-Table3410112[[#This Row],[Total]]</f>
        <v>2195</v>
      </c>
      <c r="D55" s="5">
        <f>Table34101112131814151623[[#This Row],[  5-11]]-Table3410112[[#This Row],[  5-11]]</f>
        <v>1463.3193260211419</v>
      </c>
      <c r="E55" s="5">
        <f>Table34101112131814151623[[#This Row],[  12-17]]-Table3410112[[#This Row],[  12-17]]</f>
        <v>-174.88435834717586</v>
      </c>
      <c r="F55" s="5">
        <f>Table34101112131814151623[[#This Row],[  18-24]]-Table3410112[[#This Row],[  18-24]]</f>
        <v>-172.43496767396607</v>
      </c>
      <c r="G55" s="5">
        <f>Table34101112131814151623[[#This Row],[  25-29 ]]-Table3410112[[#This Row],[  25-29 ]]</f>
        <v>120</v>
      </c>
      <c r="H55" s="5">
        <f>Table34101112131814151623[[#This Row],[  30-34]]-Table3410112[[#This Row],[  30-34]]</f>
        <v>-66</v>
      </c>
      <c r="I55" s="5">
        <f>Table34101112131814151623[[#This Row],[  35-39]]-Table3410112[[#This Row],[  35-39]]</f>
        <v>99</v>
      </c>
      <c r="J55" s="5">
        <f>Table34101112131814151623[[#This Row],[  40-44]]-Table3410112[[#This Row],[  40-44]]</f>
        <v>116</v>
      </c>
      <c r="K55" s="5">
        <f>Table34101112131814151623[[#This Row],[  45-49 ]]-Table3410112[[#This Row],[  45-49 ]]</f>
        <v>229</v>
      </c>
      <c r="L55" s="5">
        <f>Table34101112131814151623[[#This Row],[  50-54]]-Table3410112[[#This Row],[  50-54]]</f>
        <v>92</v>
      </c>
      <c r="M55" s="5">
        <f>Table34101112131814151623[[#This Row],[  55-59]]-Table3410112[[#This Row],[  55-59]]</f>
        <v>128</v>
      </c>
      <c r="N55" s="5">
        <f>Table34101112131814151623[[#This Row],[  60-64]]-Table3410112[[#This Row],[  60-64]]</f>
        <v>38</v>
      </c>
      <c r="O55" s="5">
        <f>Table34101112131814151623[[#This Row],[  65-69]]-Table3410112[[#This Row],[  65-69]]</f>
        <v>109</v>
      </c>
      <c r="P55" s="5">
        <f>Table34101112131814151623[[#This Row],[  70-74]]-Table3410112[[#This Row],[  70-74]]</f>
        <v>158</v>
      </c>
      <c r="Q55" s="5">
        <f>Table34101112131814151623[[#This Row],[  75-79]]-Table3410112[[#This Row],[  75-79]]</f>
        <v>-7</v>
      </c>
      <c r="R55" s="5">
        <f>Table34101112131814151623[[#This Row],[  80-84]]-Table3410112[[#This Row],[  80-84]]</f>
        <v>16</v>
      </c>
      <c r="S55" s="5">
        <f>Table34101112131814151623[[#This Row],[  85-89]]-Table3410112[[#This Row],[  85-89]]</f>
        <v>9</v>
      </c>
      <c r="T55" s="5">
        <f>Table34101112131814151623[[#This Row],[  90+]]-Table3410112[[#This Row],[  90+]]</f>
        <v>38</v>
      </c>
    </row>
    <row r="56" spans="1:20" x14ac:dyDescent="0.2">
      <c r="A56" s="9" t="s">
        <v>19</v>
      </c>
      <c r="B56" s="6" t="s">
        <v>22</v>
      </c>
      <c r="C56" s="5">
        <f>Table34101112131814151623[[#This Row],[Total]]-Table3410112[[#This Row],[Total]]</f>
        <v>55055</v>
      </c>
      <c r="D56" s="5">
        <f>Table34101112131814151623[[#This Row],[  5-11]]-Table3410112[[#This Row],[  5-11]]</f>
        <v>46765.761037081887</v>
      </c>
      <c r="E56" s="5">
        <f>Table34101112131814151623[[#This Row],[  12-17]]-Table3410112[[#This Row],[  12-17]]</f>
        <v>732.6353732154239</v>
      </c>
      <c r="F56" s="5">
        <f>Table34101112131814151623[[#This Row],[  18-24]]-Table3410112[[#This Row],[  18-24]]</f>
        <v>-9434.3964102973041</v>
      </c>
      <c r="G56" s="5">
        <f>Table34101112131814151623[[#This Row],[  25-29 ]]-Table3410112[[#This Row],[  25-29 ]]</f>
        <v>4923</v>
      </c>
      <c r="H56" s="5">
        <f>Table34101112131814151623[[#This Row],[  30-34]]-Table3410112[[#This Row],[  30-34]]</f>
        <v>2671</v>
      </c>
      <c r="I56" s="5">
        <f>Table34101112131814151623[[#This Row],[  35-39]]-Table3410112[[#This Row],[  35-39]]</f>
        <v>2204</v>
      </c>
      <c r="J56" s="5">
        <f>Table34101112131814151623[[#This Row],[  40-44]]-Table3410112[[#This Row],[  40-44]]</f>
        <v>-1079</v>
      </c>
      <c r="K56" s="5">
        <f>Table34101112131814151623[[#This Row],[  45-49 ]]-Table3410112[[#This Row],[  45-49 ]]</f>
        <v>2421</v>
      </c>
      <c r="L56" s="5">
        <f>Table34101112131814151623[[#This Row],[  50-54]]-Table3410112[[#This Row],[  50-54]]</f>
        <v>1341</v>
      </c>
      <c r="M56" s="5">
        <f>Table34101112131814151623[[#This Row],[  55-59]]-Table3410112[[#This Row],[  55-59]]</f>
        <v>2777</v>
      </c>
      <c r="N56" s="5">
        <f>Table34101112131814151623[[#This Row],[  60-64]]-Table3410112[[#This Row],[  60-64]]</f>
        <v>1101</v>
      </c>
      <c r="O56" s="5">
        <f>Table34101112131814151623[[#This Row],[  65-69]]-Table3410112[[#This Row],[  65-69]]</f>
        <v>250</v>
      </c>
      <c r="P56" s="5">
        <f>Table34101112131814151623[[#This Row],[  70-74]]-Table3410112[[#This Row],[  70-74]]</f>
        <v>885</v>
      </c>
      <c r="Q56" s="5">
        <f>Table34101112131814151623[[#This Row],[  75-79]]-Table3410112[[#This Row],[  75-79]]</f>
        <v>-506</v>
      </c>
      <c r="R56" s="5">
        <f>Table34101112131814151623[[#This Row],[  80-84]]-Table3410112[[#This Row],[  80-84]]</f>
        <v>-456</v>
      </c>
      <c r="S56" s="5">
        <f>Table34101112131814151623[[#This Row],[  85-89]]-Table3410112[[#This Row],[  85-89]]</f>
        <v>-36</v>
      </c>
      <c r="T56" s="5">
        <f>Table34101112131814151623[[#This Row],[  90+]]-Table3410112[[#This Row],[  90+]]</f>
        <v>495</v>
      </c>
    </row>
    <row r="57" spans="1:20" x14ac:dyDescent="0.2">
      <c r="A57" s="10" t="s">
        <v>19</v>
      </c>
      <c r="B57" s="6" t="s">
        <v>0</v>
      </c>
      <c r="C57" s="5">
        <f>Table34101112131814151623[[#This Row],[Total]]-Table3410112[[#This Row],[Total]]</f>
        <v>27056</v>
      </c>
      <c r="D57" s="5">
        <f>Table34101112131814151623[[#This Row],[  5-11]]-Table3410112[[#This Row],[  5-11]]</f>
        <v>24369.684437927703</v>
      </c>
      <c r="E57" s="5">
        <f>Table34101112131814151623[[#This Row],[  12-17]]-Table3410112[[#This Row],[  12-17]]</f>
        <v>583.85499947113203</v>
      </c>
      <c r="F57" s="5">
        <f>Table34101112131814151623[[#This Row],[  18-24]]-Table3410112[[#This Row],[  18-24]]</f>
        <v>-4809.5394373988311</v>
      </c>
      <c r="G57" s="5">
        <f>Table34101112131814151623[[#This Row],[  25-29 ]]-Table3410112[[#This Row],[  25-29 ]]</f>
        <v>2862</v>
      </c>
      <c r="H57" s="5">
        <f>Table34101112131814151623[[#This Row],[  30-34]]-Table3410112[[#This Row],[  30-34]]</f>
        <v>1099</v>
      </c>
      <c r="I57" s="5">
        <f>Table34101112131814151623[[#This Row],[  35-39]]-Table3410112[[#This Row],[  35-39]]</f>
        <v>1051</v>
      </c>
      <c r="J57" s="5">
        <f>Table34101112131814151623[[#This Row],[  40-44]]-Table3410112[[#This Row],[  40-44]]</f>
        <v>-734</v>
      </c>
      <c r="K57" s="5">
        <f>Table34101112131814151623[[#This Row],[  45-49 ]]-Table3410112[[#This Row],[  45-49 ]]</f>
        <v>1041</v>
      </c>
      <c r="L57" s="5">
        <f>Table34101112131814151623[[#This Row],[  50-54]]-Table3410112[[#This Row],[  50-54]]</f>
        <v>400</v>
      </c>
      <c r="M57" s="5">
        <f>Table34101112131814151623[[#This Row],[  55-59]]-Table3410112[[#This Row],[  55-59]]</f>
        <v>890</v>
      </c>
      <c r="N57" s="5">
        <f>Table34101112131814151623[[#This Row],[  60-64]]-Table3410112[[#This Row],[  60-64]]</f>
        <v>121</v>
      </c>
      <c r="O57" s="5">
        <f>Table34101112131814151623[[#This Row],[  65-69]]-Table3410112[[#This Row],[  65-69]]</f>
        <v>256</v>
      </c>
      <c r="P57" s="5">
        <f>Table34101112131814151623[[#This Row],[  70-74]]-Table3410112[[#This Row],[  70-74]]</f>
        <v>326</v>
      </c>
      <c r="Q57" s="5">
        <f>Table34101112131814151623[[#This Row],[  75-79]]-Table3410112[[#This Row],[  75-79]]</f>
        <v>-283</v>
      </c>
      <c r="R57" s="5">
        <f>Table34101112131814151623[[#This Row],[  80-84]]-Table3410112[[#This Row],[  80-84]]</f>
        <v>-241</v>
      </c>
      <c r="S57" s="5">
        <f>Table34101112131814151623[[#This Row],[  85-89]]-Table3410112[[#This Row],[  85-89]]</f>
        <v>46</v>
      </c>
      <c r="T57" s="5">
        <f>Table34101112131814151623[[#This Row],[  90+]]-Table3410112[[#This Row],[  90+]]</f>
        <v>78</v>
      </c>
    </row>
    <row r="58" spans="1:20" x14ac:dyDescent="0.2">
      <c r="A58" s="10" t="s">
        <v>19</v>
      </c>
      <c r="B58" s="6" t="s">
        <v>23</v>
      </c>
      <c r="C58" s="5">
        <f>Table34101112131814151623[[#This Row],[Total]]-Table3410112[[#This Row],[Total]]</f>
        <v>27999</v>
      </c>
      <c r="D58" s="5">
        <f>Table34101112131814151623[[#This Row],[  5-11]]-Table3410112[[#This Row],[  5-11]]</f>
        <v>22394.129529739737</v>
      </c>
      <c r="E58" s="5">
        <f>Table34101112131814151623[[#This Row],[  12-17]]-Table3410112[[#This Row],[  12-17]]</f>
        <v>151.03587802873881</v>
      </c>
      <c r="F58" s="5">
        <f>Table34101112131814151623[[#This Row],[  18-24]]-Table3410112[[#This Row],[  18-24]]</f>
        <v>-4625.1654077684761</v>
      </c>
      <c r="G58" s="5">
        <f>Table34101112131814151623[[#This Row],[  25-29 ]]-Table3410112[[#This Row],[  25-29 ]]</f>
        <v>2061</v>
      </c>
      <c r="H58" s="5">
        <f>Table34101112131814151623[[#This Row],[  30-34]]-Table3410112[[#This Row],[  30-34]]</f>
        <v>1572</v>
      </c>
      <c r="I58" s="5">
        <f>Table34101112131814151623[[#This Row],[  35-39]]-Table3410112[[#This Row],[  35-39]]</f>
        <v>1153</v>
      </c>
      <c r="J58" s="5">
        <f>Table34101112131814151623[[#This Row],[  40-44]]-Table3410112[[#This Row],[  40-44]]</f>
        <v>-345</v>
      </c>
      <c r="K58" s="5">
        <f>Table34101112131814151623[[#This Row],[  45-49 ]]-Table3410112[[#This Row],[  45-49 ]]</f>
        <v>1380</v>
      </c>
      <c r="L58" s="5">
        <f>Table34101112131814151623[[#This Row],[  50-54]]-Table3410112[[#This Row],[  50-54]]</f>
        <v>941</v>
      </c>
      <c r="M58" s="5">
        <f>Table34101112131814151623[[#This Row],[  55-59]]-Table3410112[[#This Row],[  55-59]]</f>
        <v>1887</v>
      </c>
      <c r="N58" s="5">
        <f>Table34101112131814151623[[#This Row],[  60-64]]-Table3410112[[#This Row],[  60-64]]</f>
        <v>980</v>
      </c>
      <c r="O58" s="5">
        <f>Table34101112131814151623[[#This Row],[  65-69]]-Table3410112[[#This Row],[  65-69]]</f>
        <v>-6</v>
      </c>
      <c r="P58" s="5">
        <f>Table34101112131814151623[[#This Row],[  70-74]]-Table3410112[[#This Row],[  70-74]]</f>
        <v>559</v>
      </c>
      <c r="Q58" s="5">
        <f>Table34101112131814151623[[#This Row],[  75-79]]-Table3410112[[#This Row],[  75-79]]</f>
        <v>-223</v>
      </c>
      <c r="R58" s="5">
        <f>Table34101112131814151623[[#This Row],[  80-84]]-Table3410112[[#This Row],[  80-84]]</f>
        <v>-215</v>
      </c>
      <c r="S58" s="5">
        <f>Table34101112131814151623[[#This Row],[  85-89]]-Table3410112[[#This Row],[  85-89]]</f>
        <v>-82</v>
      </c>
      <c r="T58" s="5">
        <f>Table34101112131814151623[[#This Row],[  90+]]-Table3410112[[#This Row],[  90+]]</f>
        <v>417</v>
      </c>
    </row>
    <row r="59" spans="1:20" x14ac:dyDescent="0.2">
      <c r="A59" s="9" t="s">
        <v>20</v>
      </c>
      <c r="B59" s="6" t="s">
        <v>22</v>
      </c>
      <c r="C59" s="5">
        <f>Table34101112131814151623[[#This Row],[Total]]-Table3410112[[#This Row],[Total]]</f>
        <v>3812</v>
      </c>
      <c r="D59" s="5">
        <f>Table34101112131814151623[[#This Row],[  5-11]]-Table3410112[[#This Row],[  5-11]]</f>
        <v>2189.1821874667148</v>
      </c>
      <c r="E59" s="5">
        <f>Table34101112131814151623[[#This Row],[  12-17]]-Table3410112[[#This Row],[  12-17]]</f>
        <v>-61.622988310351957</v>
      </c>
      <c r="F59" s="5">
        <f>Table34101112131814151623[[#This Row],[  18-24]]-Table3410112[[#This Row],[  18-24]]</f>
        <v>-90.559199156362865</v>
      </c>
      <c r="G59" s="5">
        <f>Table34101112131814151623[[#This Row],[  25-29 ]]-Table3410112[[#This Row],[  25-29 ]]</f>
        <v>344</v>
      </c>
      <c r="H59" s="5">
        <f>Table34101112131814151623[[#This Row],[  30-34]]-Table3410112[[#This Row],[  30-34]]</f>
        <v>313</v>
      </c>
      <c r="I59" s="5">
        <f>Table34101112131814151623[[#This Row],[  35-39]]-Table3410112[[#This Row],[  35-39]]</f>
        <v>175</v>
      </c>
      <c r="J59" s="5">
        <f>Table34101112131814151623[[#This Row],[  40-44]]-Table3410112[[#This Row],[  40-44]]</f>
        <v>137</v>
      </c>
      <c r="K59" s="5">
        <f>Table34101112131814151623[[#This Row],[  45-49 ]]-Table3410112[[#This Row],[  45-49 ]]</f>
        <v>251</v>
      </c>
      <c r="L59" s="5">
        <f>Table34101112131814151623[[#This Row],[  50-54]]-Table3410112[[#This Row],[  50-54]]</f>
        <v>138</v>
      </c>
      <c r="M59" s="5">
        <f>Table34101112131814151623[[#This Row],[  55-59]]-Table3410112[[#This Row],[  55-59]]</f>
        <v>183</v>
      </c>
      <c r="N59" s="5">
        <f>Table34101112131814151623[[#This Row],[  60-64]]-Table3410112[[#This Row],[  60-64]]</f>
        <v>42</v>
      </c>
      <c r="O59" s="5">
        <f>Table34101112131814151623[[#This Row],[  65-69]]-Table3410112[[#This Row],[  65-69]]</f>
        <v>61</v>
      </c>
      <c r="P59" s="5">
        <f>Table34101112131814151623[[#This Row],[  70-74]]-Table3410112[[#This Row],[  70-74]]</f>
        <v>33</v>
      </c>
      <c r="Q59" s="5">
        <f>Table34101112131814151623[[#This Row],[  75-79]]-Table3410112[[#This Row],[  75-79]]</f>
        <v>13</v>
      </c>
      <c r="R59" s="5">
        <f>Table34101112131814151623[[#This Row],[  80-84]]-Table3410112[[#This Row],[  80-84]]</f>
        <v>66</v>
      </c>
      <c r="S59" s="5">
        <f>Table34101112131814151623[[#This Row],[  85-89]]-Table3410112[[#This Row],[  85-89]]</f>
        <v>1</v>
      </c>
      <c r="T59" s="5">
        <f>Table34101112131814151623[[#This Row],[  90+]]-Table3410112[[#This Row],[  90+]]</f>
        <v>18</v>
      </c>
    </row>
    <row r="60" spans="1:20" x14ac:dyDescent="0.2">
      <c r="A60" s="9" t="s">
        <v>20</v>
      </c>
      <c r="B60" s="6" t="s">
        <v>0</v>
      </c>
      <c r="C60" s="5">
        <f>Table34101112131814151623[[#This Row],[Total]]-Table3410112[[#This Row],[Total]]</f>
        <v>1980</v>
      </c>
      <c r="D60" s="5">
        <f>Table34101112131814151623[[#This Row],[  5-11]]-Table3410112[[#This Row],[  5-11]]</f>
        <v>1168.9618989026656</v>
      </c>
      <c r="E60" s="5">
        <f>Table34101112131814151623[[#This Row],[  12-17]]-Table3410112[[#This Row],[  12-17]]</f>
        <v>-1.2169761448924419</v>
      </c>
      <c r="F60" s="5">
        <f>Table34101112131814151623[[#This Row],[  18-24]]-Table3410112[[#This Row],[  18-24]]</f>
        <v>-85.744922757773111</v>
      </c>
      <c r="G60" s="5">
        <f>Table34101112131814151623[[#This Row],[  25-29 ]]-Table3410112[[#This Row],[  25-29 ]]</f>
        <v>118</v>
      </c>
      <c r="H60" s="5">
        <f>Table34101112131814151623[[#This Row],[  30-34]]-Table3410112[[#This Row],[  30-34]]</f>
        <v>151</v>
      </c>
      <c r="I60" s="5">
        <f>Table34101112131814151623[[#This Row],[  35-39]]-Table3410112[[#This Row],[  35-39]]</f>
        <v>83</v>
      </c>
      <c r="J60" s="5">
        <f>Table34101112131814151623[[#This Row],[  40-44]]-Table3410112[[#This Row],[  40-44]]</f>
        <v>83</v>
      </c>
      <c r="K60" s="5">
        <f>Table34101112131814151623[[#This Row],[  45-49 ]]-Table3410112[[#This Row],[  45-49 ]]</f>
        <v>149</v>
      </c>
      <c r="L60" s="5">
        <f>Table34101112131814151623[[#This Row],[  50-54]]-Table3410112[[#This Row],[  50-54]]</f>
        <v>92</v>
      </c>
      <c r="M60" s="5">
        <f>Table34101112131814151623[[#This Row],[  55-59]]-Table3410112[[#This Row],[  55-59]]</f>
        <v>121</v>
      </c>
      <c r="N60" s="5">
        <f>Table34101112131814151623[[#This Row],[  60-64]]-Table3410112[[#This Row],[  60-64]]</f>
        <v>60</v>
      </c>
      <c r="O60" s="5">
        <f>Table34101112131814151623[[#This Row],[  65-69]]-Table3410112[[#This Row],[  65-69]]</f>
        <v>2</v>
      </c>
      <c r="P60" s="5">
        <f>Table34101112131814151623[[#This Row],[  70-74]]-Table3410112[[#This Row],[  70-74]]</f>
        <v>1</v>
      </c>
      <c r="Q60" s="5">
        <f>Table34101112131814151623[[#This Row],[  75-79]]-Table3410112[[#This Row],[  75-79]]</f>
        <v>5</v>
      </c>
      <c r="R60" s="5">
        <f>Table34101112131814151623[[#This Row],[  80-84]]-Table3410112[[#This Row],[  80-84]]</f>
        <v>28</v>
      </c>
      <c r="S60" s="5">
        <f>Table34101112131814151623[[#This Row],[  85-89]]-Table3410112[[#This Row],[  85-89]]</f>
        <v>7</v>
      </c>
      <c r="T60" s="5">
        <f>Table34101112131814151623[[#This Row],[  90+]]-Table3410112[[#This Row],[  90+]]</f>
        <v>-2</v>
      </c>
    </row>
    <row r="61" spans="1:20" x14ac:dyDescent="0.2">
      <c r="A61" s="9" t="s">
        <v>20</v>
      </c>
      <c r="B61" s="6" t="s">
        <v>23</v>
      </c>
      <c r="C61" s="5">
        <f>Table34101112131814151623[[#This Row],[Total]]-Table3410112[[#This Row],[Total]]</f>
        <v>1832</v>
      </c>
      <c r="D61" s="5">
        <f>Table34101112131814151623[[#This Row],[  5-11]]-Table3410112[[#This Row],[  5-11]]</f>
        <v>1020.0393777497745</v>
      </c>
      <c r="E61" s="5">
        <f>Table34101112131814151623[[#This Row],[  12-17]]-Table3410112[[#This Row],[  12-17]]</f>
        <v>-60.239659484589311</v>
      </c>
      <c r="F61" s="5">
        <f>Table34101112131814151623[[#This Row],[  18-24]]-Table3410112[[#This Row],[  18-24]]</f>
        <v>-4.7997182651852199</v>
      </c>
      <c r="G61" s="5">
        <f>Table34101112131814151623[[#This Row],[  25-29 ]]-Table3410112[[#This Row],[  25-29 ]]</f>
        <v>226</v>
      </c>
      <c r="H61" s="5">
        <f>Table34101112131814151623[[#This Row],[  30-34]]-Table3410112[[#This Row],[  30-34]]</f>
        <v>162</v>
      </c>
      <c r="I61" s="5">
        <f>Table34101112131814151623[[#This Row],[  35-39]]-Table3410112[[#This Row],[  35-39]]</f>
        <v>92</v>
      </c>
      <c r="J61" s="5">
        <f>Table34101112131814151623[[#This Row],[  40-44]]-Table3410112[[#This Row],[  40-44]]</f>
        <v>54</v>
      </c>
      <c r="K61" s="5">
        <f>Table34101112131814151623[[#This Row],[  45-49 ]]-Table3410112[[#This Row],[  45-49 ]]</f>
        <v>102</v>
      </c>
      <c r="L61" s="5">
        <f>Table34101112131814151623[[#This Row],[  50-54]]-Table3410112[[#This Row],[  50-54]]</f>
        <v>46</v>
      </c>
      <c r="M61" s="5">
        <f>Table34101112131814151623[[#This Row],[  55-59]]-Table3410112[[#This Row],[  55-59]]</f>
        <v>62</v>
      </c>
      <c r="N61" s="5">
        <f>Table34101112131814151623[[#This Row],[  60-64]]-Table3410112[[#This Row],[  60-64]]</f>
        <v>-18</v>
      </c>
      <c r="O61" s="5">
        <f>Table34101112131814151623[[#This Row],[  65-69]]-Table3410112[[#This Row],[  65-69]]</f>
        <v>59</v>
      </c>
      <c r="P61" s="5">
        <f>Table34101112131814151623[[#This Row],[  70-74]]-Table3410112[[#This Row],[  70-74]]</f>
        <v>32</v>
      </c>
      <c r="Q61" s="5">
        <f>Table34101112131814151623[[#This Row],[  75-79]]-Table3410112[[#This Row],[  75-79]]</f>
        <v>8</v>
      </c>
      <c r="R61" s="5">
        <f>Table34101112131814151623[[#This Row],[  80-84]]-Table3410112[[#This Row],[  80-84]]</f>
        <v>38</v>
      </c>
      <c r="S61" s="5">
        <f>Table34101112131814151623[[#This Row],[  85-89]]-Table3410112[[#This Row],[  85-89]]</f>
        <v>-6</v>
      </c>
      <c r="T61" s="5">
        <f>Table34101112131814151623[[#This Row],[  90+]]-Table3410112[[#This Row],[  90+]]</f>
        <v>20</v>
      </c>
    </row>
    <row r="62" spans="1:20" x14ac:dyDescent="0.2">
      <c r="A62" s="13" t="s">
        <v>21</v>
      </c>
      <c r="B62" s="6" t="s">
        <v>22</v>
      </c>
      <c r="C62" s="5">
        <f>Table34101112131814151623[[#This Row],[Total]]-Table3410112[[#This Row],[Total]]</f>
        <v>6059</v>
      </c>
      <c r="D62" s="5">
        <f>Table34101112131814151623[[#This Row],[  5-11]]-Table3410112[[#This Row],[  5-11]]</f>
        <v>4261.7744128729655</v>
      </c>
      <c r="E62" s="5">
        <f>Table34101112131814151623[[#This Row],[  12-17]]-Table3410112[[#This Row],[  12-17]]</f>
        <v>-169.90133266339717</v>
      </c>
      <c r="F62" s="5">
        <f>Table34101112131814151623[[#This Row],[  18-24]]-Table3410112[[#This Row],[  18-24]]</f>
        <v>-873.87308020956834</v>
      </c>
      <c r="G62" s="5">
        <f>Table34101112131814151623[[#This Row],[  25-29 ]]-Table3410112[[#This Row],[  25-29 ]]</f>
        <v>32</v>
      </c>
      <c r="H62" s="5">
        <f>Table34101112131814151623[[#This Row],[  30-34]]-Table3410112[[#This Row],[  30-34]]</f>
        <v>227</v>
      </c>
      <c r="I62" s="5">
        <f>Table34101112131814151623[[#This Row],[  35-39]]-Table3410112[[#This Row],[  35-39]]</f>
        <v>127</v>
      </c>
      <c r="J62" s="5">
        <f>Table34101112131814151623[[#This Row],[  40-44]]-Table3410112[[#This Row],[  40-44]]</f>
        <v>177</v>
      </c>
      <c r="K62" s="5">
        <f>Table34101112131814151623[[#This Row],[  45-49 ]]-Table3410112[[#This Row],[  45-49 ]]</f>
        <v>515</v>
      </c>
      <c r="L62" s="5">
        <f>Table34101112131814151623[[#This Row],[  50-54]]-Table3410112[[#This Row],[  50-54]]</f>
        <v>304</v>
      </c>
      <c r="M62" s="5">
        <f>Table34101112131814151623[[#This Row],[  55-59]]-Table3410112[[#This Row],[  55-59]]</f>
        <v>442</v>
      </c>
      <c r="N62" s="5">
        <f>Table34101112131814151623[[#This Row],[  60-64]]-Table3410112[[#This Row],[  60-64]]</f>
        <v>337</v>
      </c>
      <c r="O62" s="5">
        <f>Table34101112131814151623[[#This Row],[  65-69]]-Table3410112[[#This Row],[  65-69]]</f>
        <v>274</v>
      </c>
      <c r="P62" s="5">
        <f>Table34101112131814151623[[#This Row],[  70-74]]-Table3410112[[#This Row],[  70-74]]</f>
        <v>348</v>
      </c>
      <c r="Q62" s="5">
        <f>Table34101112131814151623[[#This Row],[  75-79]]-Table3410112[[#This Row],[  75-79]]</f>
        <v>-36</v>
      </c>
      <c r="R62" s="5">
        <f>Table34101112131814151623[[#This Row],[  80-84]]-Table3410112[[#This Row],[  80-84]]</f>
        <v>44</v>
      </c>
      <c r="S62" s="5">
        <f>Table34101112131814151623[[#This Row],[  85-89]]-Table3410112[[#This Row],[  85-89]]</f>
        <v>-3</v>
      </c>
      <c r="T62" s="5">
        <f>Table34101112131814151623[[#This Row],[  90+]]-Table3410112[[#This Row],[  90+]]</f>
        <v>53</v>
      </c>
    </row>
    <row r="63" spans="1:20" x14ac:dyDescent="0.2">
      <c r="A63" s="10" t="s">
        <v>21</v>
      </c>
      <c r="B63" s="6" t="s">
        <v>0</v>
      </c>
      <c r="C63" s="5">
        <f>Table34101112131814151623[[#This Row],[Total]]-Table3410112[[#This Row],[Total]]</f>
        <v>2991</v>
      </c>
      <c r="D63" s="5">
        <f>Table34101112131814151623[[#This Row],[  5-11]]-Table3410112[[#This Row],[  5-11]]</f>
        <v>2204.4257141411663</v>
      </c>
      <c r="E63" s="5">
        <f>Table34101112131814151623[[#This Row],[  12-17]]-Table3410112[[#This Row],[  12-17]]</f>
        <v>-89.673578000766838</v>
      </c>
      <c r="F63" s="5">
        <f>Table34101112131814151623[[#This Row],[  18-24]]-Table3410112[[#This Row],[  18-24]]</f>
        <v>-539.75213614039922</v>
      </c>
      <c r="G63" s="5">
        <f>Table34101112131814151623[[#This Row],[  25-29 ]]-Table3410112[[#This Row],[  25-29 ]]</f>
        <v>34</v>
      </c>
      <c r="H63" s="5">
        <f>Table34101112131814151623[[#This Row],[  30-34]]-Table3410112[[#This Row],[  30-34]]</f>
        <v>105</v>
      </c>
      <c r="I63" s="5">
        <f>Table34101112131814151623[[#This Row],[  35-39]]-Table3410112[[#This Row],[  35-39]]</f>
        <v>128</v>
      </c>
      <c r="J63" s="5">
        <f>Table34101112131814151623[[#This Row],[  40-44]]-Table3410112[[#This Row],[  40-44]]</f>
        <v>75</v>
      </c>
      <c r="K63" s="5">
        <f>Table34101112131814151623[[#This Row],[  45-49 ]]-Table3410112[[#This Row],[  45-49 ]]</f>
        <v>290</v>
      </c>
      <c r="L63" s="5">
        <f>Table34101112131814151623[[#This Row],[  50-54]]-Table3410112[[#This Row],[  50-54]]</f>
        <v>133</v>
      </c>
      <c r="M63" s="5">
        <f>Table34101112131814151623[[#This Row],[  55-59]]-Table3410112[[#This Row],[  55-59]]</f>
        <v>220</v>
      </c>
      <c r="N63" s="5">
        <f>Table34101112131814151623[[#This Row],[  60-64]]-Table3410112[[#This Row],[  60-64]]</f>
        <v>134</v>
      </c>
      <c r="O63" s="5">
        <f>Table34101112131814151623[[#This Row],[  65-69]]-Table3410112[[#This Row],[  65-69]]</f>
        <v>180</v>
      </c>
      <c r="P63" s="5">
        <f>Table34101112131814151623[[#This Row],[  70-74]]-Table3410112[[#This Row],[  70-74]]</f>
        <v>129</v>
      </c>
      <c r="Q63" s="5">
        <f>Table34101112131814151623[[#This Row],[  75-79]]-Table3410112[[#This Row],[  75-79]]</f>
        <v>-44</v>
      </c>
      <c r="R63" s="5">
        <f>Table34101112131814151623[[#This Row],[  80-84]]-Table3410112[[#This Row],[  80-84]]</f>
        <v>12</v>
      </c>
      <c r="S63" s="5">
        <f>Table34101112131814151623[[#This Row],[  85-89]]-Table3410112[[#This Row],[  85-89]]</f>
        <v>-13</v>
      </c>
      <c r="T63" s="5">
        <f>Table34101112131814151623[[#This Row],[  90+]]-Table3410112[[#This Row],[  90+]]</f>
        <v>33</v>
      </c>
    </row>
    <row r="64" spans="1:20" x14ac:dyDescent="0.2">
      <c r="A64" s="10" t="s">
        <v>21</v>
      </c>
      <c r="B64" s="6" t="s">
        <v>23</v>
      </c>
      <c r="C64" s="5">
        <f>Table34101112131814151623[[#This Row],[Total]]-Table3410112[[#This Row],[Total]]</f>
        <v>3068</v>
      </c>
      <c r="D64" s="5">
        <f>Table34101112131814151623[[#This Row],[  5-11]]-Table3410112[[#This Row],[  5-11]]</f>
        <v>2057.1338055360829</v>
      </c>
      <c r="E64" s="5">
        <f>Table34101112131814151623[[#This Row],[  12-17]]-Table3410112[[#This Row],[  12-17]]</f>
        <v>-80.019142166755501</v>
      </c>
      <c r="F64" s="5">
        <f>Table34101112131814151623[[#This Row],[  18-24]]-Table3410112[[#This Row],[  18-24]]</f>
        <v>-334.11466336932722</v>
      </c>
      <c r="G64" s="5">
        <f>Table34101112131814151623[[#This Row],[  25-29 ]]-Table3410112[[#This Row],[  25-29 ]]</f>
        <v>-2</v>
      </c>
      <c r="H64" s="5">
        <f>Table34101112131814151623[[#This Row],[  30-34]]-Table3410112[[#This Row],[  30-34]]</f>
        <v>122</v>
      </c>
      <c r="I64" s="5">
        <f>Table34101112131814151623[[#This Row],[  35-39]]-Table3410112[[#This Row],[  35-39]]</f>
        <v>-1</v>
      </c>
      <c r="J64" s="5">
        <f>Table34101112131814151623[[#This Row],[  40-44]]-Table3410112[[#This Row],[  40-44]]</f>
        <v>102</v>
      </c>
      <c r="K64" s="5">
        <f>Table34101112131814151623[[#This Row],[  45-49 ]]-Table3410112[[#This Row],[  45-49 ]]</f>
        <v>225</v>
      </c>
      <c r="L64" s="5">
        <f>Table34101112131814151623[[#This Row],[  50-54]]-Table3410112[[#This Row],[  50-54]]</f>
        <v>171</v>
      </c>
      <c r="M64" s="5">
        <f>Table34101112131814151623[[#This Row],[  55-59]]-Table3410112[[#This Row],[  55-59]]</f>
        <v>222</v>
      </c>
      <c r="N64" s="5">
        <f>Table34101112131814151623[[#This Row],[  60-64]]-Table3410112[[#This Row],[  60-64]]</f>
        <v>203</v>
      </c>
      <c r="O64" s="5">
        <f>Table34101112131814151623[[#This Row],[  65-69]]-Table3410112[[#This Row],[  65-69]]</f>
        <v>94</v>
      </c>
      <c r="P64" s="5">
        <f>Table34101112131814151623[[#This Row],[  70-74]]-Table3410112[[#This Row],[  70-74]]</f>
        <v>219</v>
      </c>
      <c r="Q64" s="5">
        <f>Table34101112131814151623[[#This Row],[  75-79]]-Table3410112[[#This Row],[  75-79]]</f>
        <v>8</v>
      </c>
      <c r="R64" s="5">
        <f>Table34101112131814151623[[#This Row],[  80-84]]-Table3410112[[#This Row],[  80-84]]</f>
        <v>32</v>
      </c>
      <c r="S64" s="5">
        <f>Table34101112131814151623[[#This Row],[  85-89]]-Table3410112[[#This Row],[  85-89]]</f>
        <v>10</v>
      </c>
      <c r="T64" s="5">
        <f>Table34101112131814151623[[#This Row],[  90+]]-Table3410112[[#This Row],[  90+]]</f>
        <v>20</v>
      </c>
    </row>
    <row r="65" spans="1:20" x14ac:dyDescent="0.2">
      <c r="A65" s="13" t="s">
        <v>22</v>
      </c>
      <c r="B65" s="6" t="s">
        <v>22</v>
      </c>
      <c r="C65" s="5">
        <f>Table34101112131814151623[[#This Row],[Total]]-Table3410112[[#This Row],[Total]]</f>
        <v>410156</v>
      </c>
      <c r="D65" s="5">
        <f>Table34101112131814151623[[#This Row],[  5-11]]-Table3410112[[#This Row],[  5-11]]</f>
        <v>368477.85225632996</v>
      </c>
      <c r="E65" s="5">
        <f>Table34101112131814151623[[#This Row],[  12-17]]-Table3410112[[#This Row],[  12-17]]</f>
        <v>1646.1863461430767</v>
      </c>
      <c r="F65" s="5">
        <f>Table34101112131814151623[[#This Row],[  18-24]]-Table3410112[[#This Row],[  18-24]]</f>
        <v>-100952.03860247295</v>
      </c>
      <c r="G65" s="5">
        <f>Table34101112131814151623[[#This Row],[  25-29 ]]-Table3410112[[#This Row],[  25-29 ]]</f>
        <v>25648</v>
      </c>
      <c r="H65" s="5">
        <f>Table34101112131814151623[[#This Row],[  30-34]]-Table3410112[[#This Row],[  30-34]]</f>
        <v>8219</v>
      </c>
      <c r="I65" s="5">
        <f>Table34101112131814151623[[#This Row],[  35-39]]-Table3410112[[#This Row],[  35-39]]</f>
        <v>7467</v>
      </c>
      <c r="J65" s="5">
        <f>Table34101112131814151623[[#This Row],[  40-44]]-Table3410112[[#This Row],[  40-44]]</f>
        <v>5876</v>
      </c>
      <c r="K65" s="5">
        <f>Table34101112131814151623[[#This Row],[  45-49 ]]-Table3410112[[#This Row],[  45-49 ]]</f>
        <v>25497</v>
      </c>
      <c r="L65" s="5">
        <f>Table34101112131814151623[[#This Row],[  50-54]]-Table3410112[[#This Row],[  50-54]]</f>
        <v>16286</v>
      </c>
      <c r="M65" s="5">
        <f>Table34101112131814151623[[#This Row],[  55-59]]-Table3410112[[#This Row],[  55-59]]</f>
        <v>24472</v>
      </c>
      <c r="N65" s="5">
        <f>Table34101112131814151623[[#This Row],[  60-64]]-Table3410112[[#This Row],[  60-64]]</f>
        <v>10668</v>
      </c>
      <c r="O65" s="5">
        <f>Table34101112131814151623[[#This Row],[  65-69]]-Table3410112[[#This Row],[  65-69]]</f>
        <v>9189</v>
      </c>
      <c r="P65" s="5">
        <f>Table34101112131814151623[[#This Row],[  70-74]]-Table3410112[[#This Row],[  70-74]]</f>
        <v>10874</v>
      </c>
      <c r="Q65" s="5">
        <f>Table34101112131814151623[[#This Row],[  75-79]]-Table3410112[[#This Row],[  75-79]]</f>
        <v>-5286</v>
      </c>
      <c r="R65" s="5">
        <f>Table34101112131814151623[[#This Row],[  80-84]]-Table3410112[[#This Row],[  80-84]]</f>
        <v>-1317</v>
      </c>
      <c r="S65" s="5">
        <f>Table34101112131814151623[[#This Row],[  85-89]]-Table3410112[[#This Row],[  85-89]]</f>
        <v>971</v>
      </c>
      <c r="T65" s="5">
        <f>Table34101112131814151623[[#This Row],[  90+]]-Table3410112[[#This Row],[  90+]]</f>
        <v>2420</v>
      </c>
    </row>
    <row r="66" spans="1:20" x14ac:dyDescent="0.2">
      <c r="A66" s="10" t="s">
        <v>22</v>
      </c>
      <c r="B66" s="6" t="s">
        <v>0</v>
      </c>
      <c r="C66" s="5">
        <f>Table34101112131814151623[[#This Row],[Total]]-Table3410112[[#This Row],[Total]]</f>
        <v>200719</v>
      </c>
      <c r="D66" s="5">
        <f>Table34101112131814151623[[#This Row],[  5-11]]-Table3410112[[#This Row],[  5-11]]</f>
        <v>190189.53640916513</v>
      </c>
      <c r="E66" s="5">
        <f>Table34101112131814151623[[#This Row],[  12-17]]-Table3410112[[#This Row],[  12-17]]</f>
        <v>2019.8481288121548</v>
      </c>
      <c r="F66" s="5">
        <f>Table34101112131814151623[[#This Row],[  18-24]]-Table3410112[[#This Row],[  18-24]]</f>
        <v>-51194.384537977312</v>
      </c>
      <c r="G66" s="5">
        <f>Table34101112131814151623[[#This Row],[  25-29 ]]-Table3410112[[#This Row],[  25-29 ]]</f>
        <v>13821</v>
      </c>
      <c r="H66" s="5">
        <f>Table34101112131814151623[[#This Row],[  30-34]]-Table3410112[[#This Row],[  30-34]]</f>
        <v>3173</v>
      </c>
      <c r="I66" s="5">
        <f>Table34101112131814151623[[#This Row],[  35-39]]-Table3410112[[#This Row],[  35-39]]</f>
        <v>2654</v>
      </c>
      <c r="J66" s="5">
        <f>Table34101112131814151623[[#This Row],[  40-44]]-Table3410112[[#This Row],[  40-44]]</f>
        <v>2017</v>
      </c>
      <c r="K66" s="5">
        <f>Table34101112131814151623[[#This Row],[  45-49 ]]-Table3410112[[#This Row],[  45-49 ]]</f>
        <v>11806</v>
      </c>
      <c r="L66" s="5">
        <f>Table34101112131814151623[[#This Row],[  50-54]]-Table3410112[[#This Row],[  50-54]]</f>
        <v>7234</v>
      </c>
      <c r="M66" s="5">
        <f>Table34101112131814151623[[#This Row],[  55-59]]-Table3410112[[#This Row],[  55-59]]</f>
        <v>10696</v>
      </c>
      <c r="N66" s="5">
        <f>Table34101112131814151623[[#This Row],[  60-64]]-Table3410112[[#This Row],[  60-64]]</f>
        <v>3640</v>
      </c>
      <c r="O66" s="5">
        <f>Table34101112131814151623[[#This Row],[  65-69]]-Table3410112[[#This Row],[  65-69]]</f>
        <v>3734</v>
      </c>
      <c r="P66" s="5">
        <f>Table34101112131814151623[[#This Row],[  70-74]]-Table3410112[[#This Row],[  70-74]]</f>
        <v>4681</v>
      </c>
      <c r="Q66" s="5">
        <f>Table34101112131814151623[[#This Row],[  75-79]]-Table3410112[[#This Row],[  75-79]]</f>
        <v>-3220</v>
      </c>
      <c r="R66" s="5">
        <f>Table34101112131814151623[[#This Row],[  80-84]]-Table3410112[[#This Row],[  80-84]]</f>
        <v>-1120</v>
      </c>
      <c r="S66" s="5">
        <f>Table34101112131814151623[[#This Row],[  85-89]]-Table3410112[[#This Row],[  85-89]]</f>
        <v>117</v>
      </c>
      <c r="T66" s="5">
        <f>Table34101112131814151623[[#This Row],[  90+]]-Table3410112[[#This Row],[  90+]]</f>
        <v>471</v>
      </c>
    </row>
    <row r="67" spans="1:20" x14ac:dyDescent="0.2">
      <c r="A67" s="10" t="s">
        <v>22</v>
      </c>
      <c r="B67" s="6" t="s">
        <v>23</v>
      </c>
      <c r="C67" s="5">
        <f>Table34101112131814151623[[#This Row],[Total]]-Table3410112[[#This Row],[Total]]</f>
        <v>209437</v>
      </c>
      <c r="D67" s="5">
        <f>Table34101112131814151623[[#This Row],[  5-11]]-Table3410112[[#This Row],[  5-11]]</f>
        <v>178273.14283355683</v>
      </c>
      <c r="E67" s="5">
        <f>Table34101112131814151623[[#This Row],[  12-17]]-Table3410112[[#This Row],[  12-17]]</f>
        <v>-358.14168017206248</v>
      </c>
      <c r="F67" s="5">
        <f>Table34101112131814151623[[#This Row],[  18-24]]-Table3410112[[#This Row],[  18-24]]</f>
        <v>-49758.001153384743</v>
      </c>
      <c r="G67" s="5">
        <f>Table34101112131814151623[[#This Row],[  25-29 ]]-Table3410112[[#This Row],[  25-29 ]]</f>
        <v>11827</v>
      </c>
      <c r="H67" s="5">
        <f>Table34101112131814151623[[#This Row],[  30-34]]-Table3410112[[#This Row],[  30-34]]</f>
        <v>5046</v>
      </c>
      <c r="I67" s="5">
        <f>Table34101112131814151623[[#This Row],[  35-39]]-Table3410112[[#This Row],[  35-39]]</f>
        <v>4813</v>
      </c>
      <c r="J67" s="5">
        <f>Table34101112131814151623[[#This Row],[  40-44]]-Table3410112[[#This Row],[  40-44]]</f>
        <v>3859</v>
      </c>
      <c r="K67" s="5">
        <f>Table34101112131814151623[[#This Row],[  45-49 ]]-Table3410112[[#This Row],[  45-49 ]]</f>
        <v>13691</v>
      </c>
      <c r="L67" s="5">
        <f>Table34101112131814151623[[#This Row],[  50-54]]-Table3410112[[#This Row],[  50-54]]</f>
        <v>9052</v>
      </c>
      <c r="M67" s="5">
        <f>Table34101112131814151623[[#This Row],[  55-59]]-Table3410112[[#This Row],[  55-59]]</f>
        <v>13776</v>
      </c>
      <c r="N67" s="5">
        <f>Table34101112131814151623[[#This Row],[  60-64]]-Table3410112[[#This Row],[  60-64]]</f>
        <v>7028</v>
      </c>
      <c r="O67" s="5">
        <f>Table34101112131814151623[[#This Row],[  65-69]]-Table3410112[[#This Row],[  65-69]]</f>
        <v>5455</v>
      </c>
      <c r="P67" s="5">
        <f>Table34101112131814151623[[#This Row],[  70-74]]-Table3410112[[#This Row],[  70-74]]</f>
        <v>6193</v>
      </c>
      <c r="Q67" s="5">
        <f>Table34101112131814151623[[#This Row],[  75-79]]-Table3410112[[#This Row],[  75-79]]</f>
        <v>-2066</v>
      </c>
      <c r="R67" s="5">
        <f>Table34101112131814151623[[#This Row],[  80-84]]-Table3410112[[#This Row],[  80-84]]</f>
        <v>-197</v>
      </c>
      <c r="S67" s="5">
        <f>Table34101112131814151623[[#This Row],[  85-89]]-Table3410112[[#This Row],[  85-89]]</f>
        <v>854</v>
      </c>
      <c r="T67" s="5">
        <f>Table34101112131814151623[[#This Row],[  90+]]-Table3410112[[#This Row],[  90+]]</f>
        <v>1949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E46A-899E-4642-A4CE-E577556242D4}">
  <dimension ref="A1:U67"/>
  <sheetViews>
    <sheetView topLeftCell="A36" zoomScale="112" zoomScaleNormal="150" workbookViewId="0">
      <selection activeCell="C66" sqref="C66:C67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27343</v>
      </c>
      <c r="D2" s="5">
        <v>973</v>
      </c>
      <c r="E2" s="5">
        <v>2911</v>
      </c>
      <c r="F2" s="5">
        <v>4418</v>
      </c>
      <c r="G2" s="5">
        <v>3211</v>
      </c>
      <c r="H2" s="5">
        <v>2623</v>
      </c>
      <c r="I2" s="5">
        <v>1976</v>
      </c>
      <c r="J2" s="5">
        <v>1810</v>
      </c>
      <c r="K2" s="5">
        <v>1913</v>
      </c>
      <c r="L2" s="5">
        <v>1963</v>
      </c>
      <c r="M2" s="5">
        <v>1749</v>
      </c>
      <c r="N2" s="5">
        <v>1526</v>
      </c>
      <c r="O2" s="5">
        <v>984</v>
      </c>
      <c r="P2" s="5">
        <v>656</v>
      </c>
      <c r="Q2" s="5">
        <v>329</v>
      </c>
      <c r="R2" s="5">
        <v>193</v>
      </c>
      <c r="S2" s="5">
        <v>78</v>
      </c>
      <c r="T2" s="5">
        <v>30</v>
      </c>
    </row>
    <row r="3" spans="1:20" x14ac:dyDescent="0.2">
      <c r="A3" s="9" t="s">
        <v>1</v>
      </c>
      <c r="B3" s="6" t="s">
        <v>0</v>
      </c>
      <c r="C3" s="5">
        <v>13301</v>
      </c>
      <c r="D3" s="5">
        <v>505</v>
      </c>
      <c r="E3" s="5">
        <v>1467</v>
      </c>
      <c r="F3" s="5">
        <v>2089</v>
      </c>
      <c r="G3" s="5">
        <v>1626</v>
      </c>
      <c r="H3" s="5">
        <v>1276</v>
      </c>
      <c r="I3" s="5">
        <v>982</v>
      </c>
      <c r="J3" s="5">
        <v>925</v>
      </c>
      <c r="K3" s="5">
        <v>918</v>
      </c>
      <c r="L3" s="5">
        <v>941</v>
      </c>
      <c r="M3" s="5">
        <v>857</v>
      </c>
      <c r="N3" s="5">
        <v>723</v>
      </c>
      <c r="O3" s="5">
        <v>426</v>
      </c>
      <c r="P3" s="5">
        <v>308</v>
      </c>
      <c r="Q3" s="5">
        <v>148</v>
      </c>
      <c r="R3" s="5">
        <v>79</v>
      </c>
      <c r="S3" s="5">
        <v>31</v>
      </c>
    </row>
    <row r="4" spans="1:20" x14ac:dyDescent="0.2">
      <c r="A4" s="9" t="s">
        <v>1</v>
      </c>
      <c r="B4" s="6" t="s">
        <v>23</v>
      </c>
      <c r="C4" s="5">
        <v>14042</v>
      </c>
      <c r="D4" s="5">
        <v>468</v>
      </c>
      <c r="E4" s="5">
        <v>1444</v>
      </c>
      <c r="F4" s="5">
        <v>2329</v>
      </c>
      <c r="G4" s="5">
        <v>1585</v>
      </c>
      <c r="H4" s="5">
        <v>1347</v>
      </c>
      <c r="I4" s="5">
        <v>994</v>
      </c>
      <c r="J4" s="5">
        <v>885</v>
      </c>
      <c r="K4" s="5">
        <v>995</v>
      </c>
      <c r="L4" s="5">
        <v>1022</v>
      </c>
      <c r="M4" s="5">
        <v>892</v>
      </c>
      <c r="N4" s="5">
        <v>803</v>
      </c>
      <c r="O4" s="5">
        <v>558</v>
      </c>
      <c r="P4" s="5">
        <v>348</v>
      </c>
      <c r="Q4" s="5">
        <v>181</v>
      </c>
      <c r="R4" s="5">
        <v>114</v>
      </c>
      <c r="S4" s="5">
        <v>47</v>
      </c>
      <c r="T4" s="5">
        <v>30</v>
      </c>
    </row>
    <row r="5" spans="1:20" ht="15" x14ac:dyDescent="0.2">
      <c r="A5" s="8" t="s">
        <v>2</v>
      </c>
      <c r="B5" s="6" t="s">
        <v>22</v>
      </c>
      <c r="C5" s="5">
        <v>41290</v>
      </c>
      <c r="D5" s="5">
        <v>786</v>
      </c>
      <c r="E5" s="5">
        <v>5227</v>
      </c>
      <c r="F5" s="5">
        <v>5704</v>
      </c>
      <c r="G5" s="5">
        <v>3533</v>
      </c>
      <c r="H5" s="5">
        <v>3301</v>
      </c>
      <c r="I5" s="5">
        <v>2971</v>
      </c>
      <c r="J5" s="5">
        <v>2956</v>
      </c>
      <c r="K5" s="5">
        <v>2951</v>
      </c>
      <c r="L5" s="5">
        <v>3024</v>
      </c>
      <c r="M5" s="5">
        <v>2903</v>
      </c>
      <c r="N5" s="5">
        <v>2749</v>
      </c>
      <c r="O5" s="5">
        <v>2102</v>
      </c>
      <c r="P5" s="5">
        <v>1481</v>
      </c>
      <c r="Q5" s="5">
        <v>844</v>
      </c>
      <c r="R5" s="5">
        <v>491</v>
      </c>
      <c r="S5" s="5">
        <v>201</v>
      </c>
      <c r="T5" s="5">
        <v>66</v>
      </c>
    </row>
    <row r="6" spans="1:20" ht="15" x14ac:dyDescent="0.2">
      <c r="A6" s="8" t="s">
        <v>2</v>
      </c>
      <c r="B6" s="6" t="s">
        <v>0</v>
      </c>
      <c r="C6" s="5">
        <v>19529</v>
      </c>
      <c r="D6" s="5">
        <v>388</v>
      </c>
      <c r="E6" s="5">
        <v>2619</v>
      </c>
      <c r="F6" s="5">
        <v>2889</v>
      </c>
      <c r="G6" s="5">
        <v>1665</v>
      </c>
      <c r="H6" s="5">
        <v>1569</v>
      </c>
      <c r="I6" s="5">
        <v>1389</v>
      </c>
      <c r="J6" s="5">
        <v>1371</v>
      </c>
      <c r="K6" s="5">
        <v>1364</v>
      </c>
      <c r="L6" s="5">
        <v>1401</v>
      </c>
      <c r="M6" s="5">
        <v>1310</v>
      </c>
      <c r="N6" s="5">
        <v>1250</v>
      </c>
      <c r="O6" s="5">
        <v>931</v>
      </c>
      <c r="P6" s="5">
        <v>695</v>
      </c>
      <c r="Q6" s="5">
        <v>390</v>
      </c>
      <c r="R6" s="5">
        <v>203</v>
      </c>
      <c r="S6" s="5">
        <v>79</v>
      </c>
      <c r="T6" s="5">
        <v>16</v>
      </c>
    </row>
    <row r="7" spans="1:20" ht="15" x14ac:dyDescent="0.2">
      <c r="A7" s="8" t="s">
        <v>2</v>
      </c>
      <c r="B7" s="6" t="s">
        <v>23</v>
      </c>
      <c r="C7" s="5">
        <v>21761</v>
      </c>
      <c r="D7" s="5">
        <v>398</v>
      </c>
      <c r="E7" s="5">
        <v>2608</v>
      </c>
      <c r="F7" s="5">
        <v>2815</v>
      </c>
      <c r="G7" s="5">
        <v>1868</v>
      </c>
      <c r="H7" s="5">
        <v>1732</v>
      </c>
      <c r="I7" s="5">
        <v>1582</v>
      </c>
      <c r="J7" s="5">
        <v>1585</v>
      </c>
      <c r="K7" s="5">
        <v>1587</v>
      </c>
      <c r="L7" s="5">
        <v>1623</v>
      </c>
      <c r="M7" s="5">
        <v>1593</v>
      </c>
      <c r="N7" s="5">
        <v>1499</v>
      </c>
      <c r="O7" s="5">
        <v>1171</v>
      </c>
      <c r="P7" s="5">
        <v>786</v>
      </c>
      <c r="Q7" s="5">
        <v>454</v>
      </c>
      <c r="R7" s="5">
        <v>288</v>
      </c>
      <c r="S7" s="5">
        <v>122</v>
      </c>
      <c r="T7" s="5">
        <v>50</v>
      </c>
    </row>
    <row r="8" spans="1:20" x14ac:dyDescent="0.2">
      <c r="A8" s="9" t="s">
        <v>3</v>
      </c>
      <c r="B8" s="6" t="s">
        <v>22</v>
      </c>
      <c r="C8" s="14">
        <v>37068</v>
      </c>
      <c r="D8" s="14">
        <v>1510</v>
      </c>
      <c r="E8" s="14">
        <v>4762</v>
      </c>
      <c r="F8" s="14">
        <v>6085</v>
      </c>
      <c r="G8" s="14">
        <v>3843</v>
      </c>
      <c r="H8" s="14">
        <v>3533</v>
      </c>
      <c r="I8" s="14">
        <v>2702</v>
      </c>
      <c r="J8" s="14">
        <v>2418</v>
      </c>
      <c r="K8" s="14">
        <v>2413</v>
      </c>
      <c r="L8" s="14">
        <v>2611</v>
      </c>
      <c r="M8" s="14">
        <v>2202</v>
      </c>
      <c r="N8" s="14">
        <v>1898</v>
      </c>
      <c r="O8" s="14">
        <v>1255</v>
      </c>
      <c r="P8" s="14">
        <v>930</v>
      </c>
      <c r="Q8" s="14">
        <v>508</v>
      </c>
      <c r="R8" s="14">
        <v>271</v>
      </c>
      <c r="S8" s="14">
        <v>86</v>
      </c>
      <c r="T8" s="14">
        <v>41</v>
      </c>
    </row>
    <row r="9" spans="1:20" x14ac:dyDescent="0.2">
      <c r="A9" s="9" t="s">
        <v>3</v>
      </c>
      <c r="B9" s="6" t="s">
        <v>0</v>
      </c>
      <c r="C9" s="14">
        <v>18284</v>
      </c>
      <c r="D9" s="14">
        <v>776</v>
      </c>
      <c r="E9" s="14">
        <v>2430</v>
      </c>
      <c r="F9" s="14">
        <v>3023</v>
      </c>
      <c r="G9" s="14">
        <v>1933</v>
      </c>
      <c r="H9" s="14">
        <v>1750</v>
      </c>
      <c r="I9" s="14">
        <v>1323</v>
      </c>
      <c r="J9" s="14">
        <v>1171</v>
      </c>
      <c r="K9" s="14">
        <v>1137</v>
      </c>
      <c r="L9" s="14">
        <v>1260</v>
      </c>
      <c r="M9" s="14">
        <v>1080</v>
      </c>
      <c r="N9" s="14">
        <v>910</v>
      </c>
      <c r="O9" s="14">
        <v>622</v>
      </c>
      <c r="P9" s="14">
        <v>438</v>
      </c>
      <c r="Q9" s="14">
        <v>248</v>
      </c>
      <c r="R9" s="14">
        <v>137</v>
      </c>
      <c r="S9" s="14">
        <v>37</v>
      </c>
      <c r="T9" s="14">
        <v>9</v>
      </c>
    </row>
    <row r="10" spans="1:20" x14ac:dyDescent="0.2">
      <c r="A10" s="9" t="s">
        <v>3</v>
      </c>
      <c r="B10" s="6" t="s">
        <v>23</v>
      </c>
      <c r="C10" s="14">
        <v>18784</v>
      </c>
      <c r="D10" s="14">
        <v>734</v>
      </c>
      <c r="E10" s="14">
        <v>2332</v>
      </c>
      <c r="F10" s="14">
        <v>3062</v>
      </c>
      <c r="G10" s="14">
        <v>1910</v>
      </c>
      <c r="H10" s="14">
        <v>1783</v>
      </c>
      <c r="I10" s="14">
        <v>1379</v>
      </c>
      <c r="J10" s="14">
        <v>1247</v>
      </c>
      <c r="K10" s="14">
        <v>1276</v>
      </c>
      <c r="L10" s="14">
        <v>1351</v>
      </c>
      <c r="M10" s="14">
        <v>1122</v>
      </c>
      <c r="N10" s="14">
        <v>988</v>
      </c>
      <c r="O10" s="14">
        <v>633</v>
      </c>
      <c r="P10" s="14">
        <v>492</v>
      </c>
      <c r="Q10" s="14">
        <v>260</v>
      </c>
      <c r="R10" s="14">
        <v>134</v>
      </c>
      <c r="S10" s="14">
        <v>49</v>
      </c>
      <c r="T10" s="14">
        <v>32</v>
      </c>
    </row>
    <row r="11" spans="1:20" x14ac:dyDescent="0.2">
      <c r="A11" s="9" t="s">
        <v>4</v>
      </c>
      <c r="B11" s="6" t="s">
        <v>22</v>
      </c>
      <c r="C11" s="15">
        <v>26855</v>
      </c>
      <c r="D11" s="15">
        <v>1138</v>
      </c>
      <c r="E11" s="15">
        <v>3059</v>
      </c>
      <c r="F11" s="15">
        <v>4773</v>
      </c>
      <c r="G11" s="15">
        <v>3128</v>
      </c>
      <c r="H11" s="15">
        <v>2434</v>
      </c>
      <c r="I11" s="15">
        <v>1789</v>
      </c>
      <c r="J11" s="15">
        <v>1709</v>
      </c>
      <c r="K11" s="15">
        <v>1925</v>
      </c>
      <c r="L11" s="15">
        <v>1831</v>
      </c>
      <c r="M11" s="15">
        <v>1621</v>
      </c>
      <c r="N11" s="15">
        <v>1331</v>
      </c>
      <c r="O11" s="15">
        <v>912</v>
      </c>
      <c r="P11" s="15">
        <v>576</v>
      </c>
      <c r="Q11" s="15">
        <v>319</v>
      </c>
      <c r="R11" s="15">
        <v>223</v>
      </c>
      <c r="S11" s="15">
        <v>68</v>
      </c>
      <c r="T11" s="15">
        <v>19</v>
      </c>
    </row>
    <row r="12" spans="1:20" x14ac:dyDescent="0.2">
      <c r="A12" s="9" t="s">
        <v>4</v>
      </c>
      <c r="B12" s="6" t="s">
        <v>0</v>
      </c>
      <c r="C12" s="15">
        <v>12933</v>
      </c>
      <c r="D12" s="15">
        <v>595</v>
      </c>
      <c r="E12" s="15">
        <v>1586</v>
      </c>
      <c r="F12" s="15">
        <v>2229</v>
      </c>
      <c r="G12" s="15">
        <v>1529</v>
      </c>
      <c r="H12" s="15">
        <v>1215</v>
      </c>
      <c r="I12" s="15">
        <v>877</v>
      </c>
      <c r="J12" s="15">
        <v>814</v>
      </c>
      <c r="K12" s="15">
        <v>889</v>
      </c>
      <c r="L12" s="15">
        <v>835</v>
      </c>
      <c r="M12" s="15">
        <v>805</v>
      </c>
      <c r="N12" s="15">
        <v>620</v>
      </c>
      <c r="O12" s="15">
        <v>423</v>
      </c>
      <c r="P12" s="15">
        <v>267</v>
      </c>
      <c r="Q12" s="15">
        <v>130</v>
      </c>
      <c r="R12" s="15">
        <v>91</v>
      </c>
      <c r="S12" s="15">
        <v>28</v>
      </c>
      <c r="T12" s="15"/>
    </row>
    <row r="13" spans="1:20" x14ac:dyDescent="0.2">
      <c r="A13" s="9" t="s">
        <v>4</v>
      </c>
      <c r="B13" s="6" t="s">
        <v>23</v>
      </c>
      <c r="C13" s="15">
        <v>13922</v>
      </c>
      <c r="D13" s="15">
        <v>543</v>
      </c>
      <c r="E13" s="15">
        <v>1473</v>
      </c>
      <c r="F13" s="15">
        <v>2544</v>
      </c>
      <c r="G13" s="15">
        <v>1599</v>
      </c>
      <c r="H13" s="15">
        <v>1219</v>
      </c>
      <c r="I13" s="15">
        <v>912</v>
      </c>
      <c r="J13" s="15">
        <v>895</v>
      </c>
      <c r="K13" s="15">
        <v>1036</v>
      </c>
      <c r="L13" s="15">
        <v>996</v>
      </c>
      <c r="M13" s="15">
        <v>816</v>
      </c>
      <c r="N13" s="15">
        <v>711</v>
      </c>
      <c r="O13" s="15">
        <v>489</v>
      </c>
      <c r="P13" s="15">
        <v>309</v>
      </c>
      <c r="Q13" s="15">
        <v>189</v>
      </c>
      <c r="R13" s="15">
        <v>132</v>
      </c>
      <c r="S13" s="15">
        <v>40</v>
      </c>
      <c r="T13" s="15">
        <v>19</v>
      </c>
    </row>
    <row r="14" spans="1:20" x14ac:dyDescent="0.2">
      <c r="A14" s="9" t="s">
        <v>5</v>
      </c>
      <c r="B14" s="6" t="s">
        <v>22</v>
      </c>
      <c r="C14" s="5">
        <v>57430</v>
      </c>
      <c r="D14" s="5">
        <v>1688</v>
      </c>
      <c r="E14" s="5">
        <v>7881</v>
      </c>
      <c r="F14" s="5">
        <v>9275</v>
      </c>
      <c r="G14" s="5">
        <v>5929</v>
      </c>
      <c r="H14" s="5">
        <v>5556</v>
      </c>
      <c r="I14" s="5">
        <v>4182</v>
      </c>
      <c r="J14" s="5">
        <v>3826</v>
      </c>
      <c r="K14" s="5">
        <v>3845</v>
      </c>
      <c r="L14" s="5">
        <v>4178</v>
      </c>
      <c r="M14" s="5">
        <v>3595</v>
      </c>
      <c r="N14" s="5">
        <v>2969</v>
      </c>
      <c r="O14" s="5">
        <v>1974</v>
      </c>
      <c r="P14" s="5">
        <v>1281</v>
      </c>
      <c r="Q14" s="5">
        <v>693</v>
      </c>
      <c r="R14" s="5">
        <v>370</v>
      </c>
      <c r="S14" s="5">
        <v>149</v>
      </c>
      <c r="T14" s="5">
        <v>39</v>
      </c>
    </row>
    <row r="15" spans="1:20" x14ac:dyDescent="0.2">
      <c r="A15" s="9" t="s">
        <v>5</v>
      </c>
      <c r="B15" s="6" t="s">
        <v>0</v>
      </c>
      <c r="C15" s="5">
        <v>26807</v>
      </c>
      <c r="D15" s="5">
        <v>836</v>
      </c>
      <c r="E15" s="5">
        <v>3999</v>
      </c>
      <c r="F15" s="5">
        <v>4608</v>
      </c>
      <c r="G15" s="5">
        <v>2764</v>
      </c>
      <c r="H15" s="5">
        <v>2508</v>
      </c>
      <c r="I15" s="5">
        <v>1852</v>
      </c>
      <c r="J15" s="5">
        <v>1706</v>
      </c>
      <c r="K15" s="5">
        <v>1745</v>
      </c>
      <c r="L15" s="5">
        <v>1867</v>
      </c>
      <c r="M15" s="5">
        <v>1635</v>
      </c>
      <c r="N15" s="5">
        <v>1368</v>
      </c>
      <c r="O15" s="5">
        <v>851</v>
      </c>
      <c r="P15" s="5">
        <v>554</v>
      </c>
      <c r="Q15" s="5">
        <v>311</v>
      </c>
      <c r="R15" s="5">
        <v>142</v>
      </c>
      <c r="S15" s="5">
        <v>54</v>
      </c>
      <c r="T15" s="5">
        <v>7</v>
      </c>
    </row>
    <row r="16" spans="1:20" x14ac:dyDescent="0.2">
      <c r="A16" s="9" t="s">
        <v>5</v>
      </c>
      <c r="B16" s="6" t="s">
        <v>23</v>
      </c>
      <c r="C16" s="5">
        <v>30623</v>
      </c>
      <c r="D16" s="5">
        <v>852</v>
      </c>
      <c r="E16" s="5">
        <v>3882</v>
      </c>
      <c r="F16" s="5">
        <v>4667</v>
      </c>
      <c r="G16" s="5">
        <v>3165</v>
      </c>
      <c r="H16" s="5">
        <v>3048</v>
      </c>
      <c r="I16" s="5">
        <v>2330</v>
      </c>
      <c r="J16" s="5">
        <v>2120</v>
      </c>
      <c r="K16" s="5">
        <v>2100</v>
      </c>
      <c r="L16" s="5">
        <v>2311</v>
      </c>
      <c r="M16" s="5">
        <v>1960</v>
      </c>
      <c r="N16" s="5">
        <v>1601</v>
      </c>
      <c r="O16" s="5">
        <v>1123</v>
      </c>
      <c r="P16" s="5">
        <v>727</v>
      </c>
      <c r="Q16" s="5">
        <v>382</v>
      </c>
      <c r="R16" s="5">
        <v>228</v>
      </c>
      <c r="S16" s="5">
        <v>95</v>
      </c>
      <c r="T16" s="5">
        <v>32</v>
      </c>
    </row>
    <row r="17" spans="1:20" x14ac:dyDescent="0.2">
      <c r="A17" s="12" t="s">
        <v>6</v>
      </c>
      <c r="B17" s="6" t="s">
        <v>22</v>
      </c>
      <c r="C17" s="5">
        <v>30693</v>
      </c>
      <c r="D17" s="5">
        <v>709</v>
      </c>
      <c r="E17" s="5">
        <v>4097</v>
      </c>
      <c r="F17" s="5">
        <v>4401</v>
      </c>
      <c r="G17" s="5">
        <v>2735</v>
      </c>
      <c r="H17" s="5">
        <v>2677</v>
      </c>
      <c r="I17" s="5">
        <v>2222</v>
      </c>
      <c r="J17" s="5">
        <v>1984</v>
      </c>
      <c r="K17" s="5">
        <v>2156</v>
      </c>
      <c r="L17" s="5">
        <v>2235</v>
      </c>
      <c r="M17" s="5">
        <v>2030</v>
      </c>
      <c r="N17" s="5">
        <v>1913</v>
      </c>
      <c r="O17" s="5">
        <v>1432</v>
      </c>
      <c r="P17" s="5">
        <v>1084</v>
      </c>
      <c r="Q17" s="5">
        <v>536</v>
      </c>
      <c r="R17" s="5">
        <v>303</v>
      </c>
      <c r="S17" s="5">
        <v>116</v>
      </c>
      <c r="T17" s="5">
        <v>63</v>
      </c>
    </row>
    <row r="18" spans="1:20" x14ac:dyDescent="0.2">
      <c r="A18" s="9" t="s">
        <v>6</v>
      </c>
      <c r="B18" s="6" t="s">
        <v>0</v>
      </c>
      <c r="C18" s="5">
        <v>14237</v>
      </c>
      <c r="D18" s="5">
        <v>338</v>
      </c>
      <c r="E18" s="5">
        <v>1965</v>
      </c>
      <c r="F18" s="5">
        <v>2228</v>
      </c>
      <c r="G18" s="5">
        <v>1316</v>
      </c>
      <c r="H18" s="5">
        <v>1209</v>
      </c>
      <c r="I18" s="5">
        <v>1003</v>
      </c>
      <c r="J18" s="5">
        <v>927</v>
      </c>
      <c r="K18" s="5">
        <v>970</v>
      </c>
      <c r="L18" s="5">
        <v>991</v>
      </c>
      <c r="M18" s="5">
        <v>888</v>
      </c>
      <c r="N18" s="5">
        <v>847</v>
      </c>
      <c r="O18" s="5">
        <v>666</v>
      </c>
      <c r="P18" s="5">
        <v>484</v>
      </c>
      <c r="Q18" s="5">
        <v>216</v>
      </c>
      <c r="R18" s="5">
        <v>133</v>
      </c>
      <c r="S18" s="5">
        <v>37</v>
      </c>
      <c r="T18" s="5">
        <v>19</v>
      </c>
    </row>
    <row r="19" spans="1:20" x14ac:dyDescent="0.2">
      <c r="A19" s="9" t="s">
        <v>6</v>
      </c>
      <c r="B19" s="6" t="s">
        <v>23</v>
      </c>
      <c r="C19" s="5">
        <v>16456</v>
      </c>
      <c r="D19" s="5">
        <v>371</v>
      </c>
      <c r="E19" s="5">
        <v>2132</v>
      </c>
      <c r="F19" s="5">
        <v>2173</v>
      </c>
      <c r="G19" s="5">
        <v>1419</v>
      </c>
      <c r="H19" s="5">
        <v>1468</v>
      </c>
      <c r="I19" s="5">
        <v>1219</v>
      </c>
      <c r="J19" s="5">
        <v>1057</v>
      </c>
      <c r="K19" s="5">
        <v>1186</v>
      </c>
      <c r="L19" s="5">
        <v>1244</v>
      </c>
      <c r="M19" s="5">
        <v>1142</v>
      </c>
      <c r="N19" s="5">
        <v>1066</v>
      </c>
      <c r="O19" s="5">
        <v>766</v>
      </c>
      <c r="P19" s="5">
        <v>600</v>
      </c>
      <c r="Q19" s="5">
        <v>320</v>
      </c>
      <c r="R19" s="5">
        <v>170</v>
      </c>
      <c r="S19" s="5">
        <v>79</v>
      </c>
      <c r="T19" s="5">
        <v>44</v>
      </c>
    </row>
    <row r="20" spans="1:20" x14ac:dyDescent="0.2">
      <c r="A20" s="9" t="s">
        <v>7</v>
      </c>
      <c r="B20" s="6" t="s">
        <v>22</v>
      </c>
      <c r="C20" s="5">
        <v>18292</v>
      </c>
      <c r="D20" s="5">
        <v>708</v>
      </c>
      <c r="E20" s="5">
        <v>2206</v>
      </c>
      <c r="F20" s="5">
        <v>2748</v>
      </c>
      <c r="G20" s="5">
        <v>1785</v>
      </c>
      <c r="H20" s="5">
        <v>1738</v>
      </c>
      <c r="I20" s="5">
        <v>1380</v>
      </c>
      <c r="J20" s="5">
        <v>1337</v>
      </c>
      <c r="K20" s="5">
        <v>1308</v>
      </c>
      <c r="L20" s="5">
        <v>1299</v>
      </c>
      <c r="M20" s="5">
        <v>1145</v>
      </c>
      <c r="N20" s="5">
        <v>1020</v>
      </c>
      <c r="O20" s="5">
        <v>730</v>
      </c>
      <c r="P20" s="5">
        <v>456</v>
      </c>
      <c r="Q20" s="5">
        <v>254</v>
      </c>
      <c r="R20" s="5">
        <v>121</v>
      </c>
      <c r="S20" s="5">
        <v>44</v>
      </c>
      <c r="T20" s="5">
        <v>13</v>
      </c>
    </row>
    <row r="21" spans="1:20" x14ac:dyDescent="0.2">
      <c r="A21" s="9" t="s">
        <v>7</v>
      </c>
      <c r="B21" s="6" t="s">
        <v>0</v>
      </c>
      <c r="C21" s="5">
        <v>9004</v>
      </c>
      <c r="D21" s="5">
        <v>361</v>
      </c>
      <c r="E21" s="5">
        <v>1158</v>
      </c>
      <c r="F21" s="5">
        <v>1413</v>
      </c>
      <c r="G21" s="5">
        <v>881</v>
      </c>
      <c r="H21" s="5">
        <v>880</v>
      </c>
      <c r="I21" s="5">
        <v>664</v>
      </c>
      <c r="J21" s="5">
        <v>645</v>
      </c>
      <c r="K21" s="5">
        <v>615</v>
      </c>
      <c r="L21" s="5">
        <v>594</v>
      </c>
      <c r="M21" s="5">
        <v>557</v>
      </c>
      <c r="N21" s="5">
        <v>489</v>
      </c>
      <c r="O21" s="5">
        <v>327</v>
      </c>
      <c r="P21" s="5">
        <v>220</v>
      </c>
      <c r="Q21" s="5">
        <v>128</v>
      </c>
      <c r="R21" s="5">
        <v>53</v>
      </c>
      <c r="S21" s="5">
        <v>19</v>
      </c>
    </row>
    <row r="22" spans="1:20" x14ac:dyDescent="0.2">
      <c r="A22" s="9" t="s">
        <v>7</v>
      </c>
      <c r="B22" s="6" t="s">
        <v>23</v>
      </c>
      <c r="C22" s="5">
        <v>9288</v>
      </c>
      <c r="D22" s="5">
        <v>347</v>
      </c>
      <c r="E22" s="5">
        <v>1048</v>
      </c>
      <c r="F22" s="5">
        <v>1335</v>
      </c>
      <c r="G22" s="5">
        <v>904</v>
      </c>
      <c r="H22" s="5">
        <v>858</v>
      </c>
      <c r="I22" s="5">
        <v>716</v>
      </c>
      <c r="J22" s="5">
        <v>692</v>
      </c>
      <c r="K22" s="5">
        <v>693</v>
      </c>
      <c r="L22" s="5">
        <v>705</v>
      </c>
      <c r="M22" s="5">
        <v>588</v>
      </c>
      <c r="N22" s="5">
        <v>531</v>
      </c>
      <c r="O22" s="5">
        <v>403</v>
      </c>
      <c r="P22" s="5">
        <v>236</v>
      </c>
      <c r="Q22" s="5">
        <v>126</v>
      </c>
      <c r="R22" s="5">
        <v>68</v>
      </c>
      <c r="S22" s="5">
        <v>25</v>
      </c>
      <c r="T22" s="5">
        <v>13</v>
      </c>
    </row>
    <row r="23" spans="1:20" x14ac:dyDescent="0.2">
      <c r="A23" s="9" t="s">
        <v>8</v>
      </c>
      <c r="B23" s="6" t="s">
        <v>22</v>
      </c>
      <c r="C23" s="5">
        <v>26733</v>
      </c>
      <c r="D23" s="5">
        <v>558</v>
      </c>
      <c r="E23" s="5">
        <v>3426</v>
      </c>
      <c r="F23" s="5">
        <v>3617</v>
      </c>
      <c r="G23" s="5">
        <v>2300</v>
      </c>
      <c r="H23" s="5">
        <v>2342</v>
      </c>
      <c r="I23" s="5">
        <v>2003</v>
      </c>
      <c r="J23" s="5">
        <v>1829</v>
      </c>
      <c r="K23" s="5">
        <v>1908</v>
      </c>
      <c r="L23" s="5">
        <v>2006</v>
      </c>
      <c r="M23" s="5">
        <v>1838</v>
      </c>
      <c r="N23" s="5">
        <v>1812</v>
      </c>
      <c r="O23" s="5">
        <v>1276</v>
      </c>
      <c r="P23" s="5">
        <v>877</v>
      </c>
      <c r="Q23" s="5">
        <v>488</v>
      </c>
      <c r="R23" s="5">
        <v>286</v>
      </c>
      <c r="S23" s="5">
        <v>123</v>
      </c>
      <c r="T23" s="5">
        <v>44</v>
      </c>
    </row>
    <row r="24" spans="1:20" x14ac:dyDescent="0.2">
      <c r="A24" s="9" t="s">
        <v>8</v>
      </c>
      <c r="B24" s="6" t="s">
        <v>0</v>
      </c>
      <c r="C24" s="5">
        <v>12552</v>
      </c>
      <c r="D24" s="5">
        <v>265</v>
      </c>
      <c r="E24" s="5">
        <v>1731</v>
      </c>
      <c r="F24" s="5">
        <v>1834</v>
      </c>
      <c r="G24" s="5">
        <v>1090</v>
      </c>
      <c r="H24" s="5">
        <v>1125</v>
      </c>
      <c r="I24" s="5">
        <v>903</v>
      </c>
      <c r="J24" s="5">
        <v>827</v>
      </c>
      <c r="K24" s="5">
        <v>876</v>
      </c>
      <c r="L24" s="5">
        <v>918</v>
      </c>
      <c r="M24" s="5">
        <v>812</v>
      </c>
      <c r="N24" s="5">
        <v>846</v>
      </c>
      <c r="O24" s="5">
        <v>576</v>
      </c>
      <c r="P24" s="5">
        <v>368</v>
      </c>
      <c r="Q24" s="5">
        <v>204</v>
      </c>
      <c r="R24" s="5">
        <v>113</v>
      </c>
      <c r="S24" s="5">
        <v>46</v>
      </c>
      <c r="T24" s="5">
        <v>18</v>
      </c>
    </row>
    <row r="25" spans="1:20" x14ac:dyDescent="0.2">
      <c r="A25" s="9" t="s">
        <v>8</v>
      </c>
      <c r="B25" s="6" t="s">
        <v>23</v>
      </c>
      <c r="C25" s="5">
        <v>14181</v>
      </c>
      <c r="D25" s="5">
        <v>293</v>
      </c>
      <c r="E25" s="5">
        <v>1695</v>
      </c>
      <c r="F25" s="5">
        <v>1783</v>
      </c>
      <c r="G25" s="5">
        <v>1210</v>
      </c>
      <c r="H25" s="5">
        <v>1217</v>
      </c>
      <c r="I25" s="5">
        <v>1100</v>
      </c>
      <c r="J25" s="5">
        <v>1002</v>
      </c>
      <c r="K25" s="5">
        <v>1032</v>
      </c>
      <c r="L25" s="5">
        <v>1088</v>
      </c>
      <c r="M25" s="5">
        <v>1026</v>
      </c>
      <c r="N25" s="5">
        <v>966</v>
      </c>
      <c r="O25" s="5">
        <v>700</v>
      </c>
      <c r="P25" s="5">
        <v>509</v>
      </c>
      <c r="Q25" s="5">
        <v>284</v>
      </c>
      <c r="R25" s="5">
        <v>173</v>
      </c>
      <c r="S25" s="5">
        <v>77</v>
      </c>
      <c r="T25" s="5">
        <v>26</v>
      </c>
    </row>
    <row r="26" spans="1:20" x14ac:dyDescent="0.2">
      <c r="A26" s="9" t="s">
        <v>9</v>
      </c>
      <c r="B26" s="6" t="s">
        <v>22</v>
      </c>
      <c r="C26" s="5">
        <v>23357</v>
      </c>
      <c r="D26" s="5">
        <v>818</v>
      </c>
      <c r="E26" s="5">
        <v>3122</v>
      </c>
      <c r="F26" s="5">
        <v>3619</v>
      </c>
      <c r="G26" s="5">
        <v>2239</v>
      </c>
      <c r="H26" s="5">
        <v>2120</v>
      </c>
      <c r="I26" s="5">
        <v>1591</v>
      </c>
      <c r="J26" s="5">
        <v>1502</v>
      </c>
      <c r="K26" s="5">
        <v>1541</v>
      </c>
      <c r="L26" s="5">
        <v>1606</v>
      </c>
      <c r="M26" s="5">
        <v>1457</v>
      </c>
      <c r="N26" s="5">
        <v>1371</v>
      </c>
      <c r="O26" s="5">
        <v>946</v>
      </c>
      <c r="P26" s="5">
        <v>690</v>
      </c>
      <c r="Q26" s="5">
        <v>392</v>
      </c>
      <c r="R26" s="5">
        <v>231</v>
      </c>
      <c r="S26" s="5">
        <v>82</v>
      </c>
      <c r="T26" s="5">
        <v>30</v>
      </c>
    </row>
    <row r="27" spans="1:20" x14ac:dyDescent="0.2">
      <c r="A27" s="9" t="s">
        <v>9</v>
      </c>
      <c r="B27" s="6" t="s">
        <v>0</v>
      </c>
      <c r="C27" s="5">
        <v>11062</v>
      </c>
      <c r="D27" s="5">
        <v>408</v>
      </c>
      <c r="E27" s="5">
        <v>1601</v>
      </c>
      <c r="F27" s="5">
        <v>1799</v>
      </c>
      <c r="G27" s="5">
        <v>1121</v>
      </c>
      <c r="H27" s="5">
        <v>973</v>
      </c>
      <c r="I27" s="5">
        <v>743</v>
      </c>
      <c r="J27" s="5">
        <v>700</v>
      </c>
      <c r="K27" s="5">
        <v>697</v>
      </c>
      <c r="L27" s="5">
        <v>701</v>
      </c>
      <c r="M27" s="5">
        <v>656</v>
      </c>
      <c r="N27" s="5">
        <v>614</v>
      </c>
      <c r="O27" s="5">
        <v>421</v>
      </c>
      <c r="P27" s="5">
        <v>322</v>
      </c>
      <c r="Q27" s="5">
        <v>176</v>
      </c>
      <c r="R27" s="5">
        <v>92</v>
      </c>
      <c r="S27" s="5">
        <v>28</v>
      </c>
      <c r="T27" s="5">
        <v>10</v>
      </c>
    </row>
    <row r="28" spans="1:20" x14ac:dyDescent="0.2">
      <c r="A28" s="9" t="s">
        <v>9</v>
      </c>
      <c r="B28" s="6" t="s">
        <v>23</v>
      </c>
      <c r="C28" s="5">
        <v>12295</v>
      </c>
      <c r="D28" s="5">
        <v>410</v>
      </c>
      <c r="E28" s="5">
        <v>1521</v>
      </c>
      <c r="F28" s="5">
        <v>1820</v>
      </c>
      <c r="G28" s="5">
        <v>1118</v>
      </c>
      <c r="H28" s="5">
        <v>1147</v>
      </c>
      <c r="I28" s="5">
        <v>848</v>
      </c>
      <c r="J28" s="5">
        <v>802</v>
      </c>
      <c r="K28" s="5">
        <v>844</v>
      </c>
      <c r="L28" s="5">
        <v>905</v>
      </c>
      <c r="M28" s="5">
        <v>801</v>
      </c>
      <c r="N28" s="5">
        <v>757</v>
      </c>
      <c r="O28" s="5">
        <v>525</v>
      </c>
      <c r="P28" s="5">
        <v>368</v>
      </c>
      <c r="Q28" s="5">
        <v>216</v>
      </c>
      <c r="R28" s="5">
        <v>139</v>
      </c>
      <c r="S28" s="5">
        <v>54</v>
      </c>
      <c r="T28" s="5">
        <v>20</v>
      </c>
    </row>
    <row r="29" spans="1:20" x14ac:dyDescent="0.2">
      <c r="A29" s="9" t="s">
        <v>10</v>
      </c>
      <c r="B29" s="6" t="s">
        <v>22</v>
      </c>
      <c r="C29" s="5">
        <v>10401</v>
      </c>
      <c r="D29" s="5">
        <v>330</v>
      </c>
      <c r="E29" s="5">
        <v>1440</v>
      </c>
      <c r="F29" s="5">
        <v>1468</v>
      </c>
      <c r="G29" s="5">
        <v>870</v>
      </c>
      <c r="H29" s="5">
        <v>877</v>
      </c>
      <c r="I29" s="5">
        <v>735</v>
      </c>
      <c r="J29" s="5">
        <v>636</v>
      </c>
      <c r="K29" s="5">
        <v>694</v>
      </c>
      <c r="L29" s="5">
        <v>798</v>
      </c>
      <c r="M29" s="5">
        <v>748</v>
      </c>
      <c r="N29" s="5">
        <v>666</v>
      </c>
      <c r="O29" s="5">
        <v>452</v>
      </c>
      <c r="P29" s="5">
        <v>339</v>
      </c>
      <c r="Q29" s="5">
        <v>206</v>
      </c>
      <c r="R29" s="5">
        <v>101</v>
      </c>
      <c r="S29" s="5">
        <v>30</v>
      </c>
      <c r="T29" s="5">
        <v>11</v>
      </c>
    </row>
    <row r="30" spans="1:20" x14ac:dyDescent="0.2">
      <c r="A30" s="9" t="s">
        <v>10</v>
      </c>
      <c r="B30" s="6" t="s">
        <v>0</v>
      </c>
      <c r="C30" s="5">
        <v>4935</v>
      </c>
      <c r="D30" s="5">
        <v>160</v>
      </c>
      <c r="E30" s="5">
        <v>732</v>
      </c>
      <c r="F30" s="5">
        <v>788</v>
      </c>
      <c r="G30" s="5">
        <v>453</v>
      </c>
      <c r="H30" s="5">
        <v>414</v>
      </c>
      <c r="I30" s="5">
        <v>341</v>
      </c>
      <c r="J30" s="5">
        <v>295</v>
      </c>
      <c r="K30" s="5">
        <v>321</v>
      </c>
      <c r="L30" s="5">
        <v>357</v>
      </c>
      <c r="M30" s="5">
        <v>323</v>
      </c>
      <c r="N30" s="5">
        <v>289</v>
      </c>
      <c r="O30" s="5">
        <v>190</v>
      </c>
      <c r="P30" s="5">
        <v>133</v>
      </c>
      <c r="Q30" s="5">
        <v>78</v>
      </c>
      <c r="R30" s="5">
        <v>50</v>
      </c>
      <c r="S30" s="5">
        <v>11</v>
      </c>
    </row>
    <row r="31" spans="1:20" x14ac:dyDescent="0.2">
      <c r="A31" s="9" t="s">
        <v>10</v>
      </c>
      <c r="B31" s="6" t="s">
        <v>23</v>
      </c>
      <c r="C31" s="5">
        <v>5466</v>
      </c>
      <c r="D31" s="5">
        <v>170</v>
      </c>
      <c r="E31" s="5">
        <v>708</v>
      </c>
      <c r="F31" s="5">
        <v>680</v>
      </c>
      <c r="G31" s="5">
        <v>417</v>
      </c>
      <c r="H31" s="5">
        <v>463</v>
      </c>
      <c r="I31" s="5">
        <v>394</v>
      </c>
      <c r="J31" s="5">
        <v>341</v>
      </c>
      <c r="K31" s="5">
        <v>373</v>
      </c>
      <c r="L31" s="5">
        <v>441</v>
      </c>
      <c r="M31" s="5">
        <v>425</v>
      </c>
      <c r="N31" s="5">
        <v>377</v>
      </c>
      <c r="O31" s="5">
        <v>262</v>
      </c>
      <c r="P31" s="5">
        <v>206</v>
      </c>
      <c r="Q31" s="5">
        <v>128</v>
      </c>
      <c r="R31" s="5">
        <v>51</v>
      </c>
      <c r="S31" s="5">
        <v>19</v>
      </c>
      <c r="T31" s="5">
        <v>11</v>
      </c>
    </row>
    <row r="32" spans="1:20" x14ac:dyDescent="0.2">
      <c r="A32" s="9" t="s">
        <v>11</v>
      </c>
      <c r="B32" s="6" t="s">
        <v>22</v>
      </c>
      <c r="C32" s="5">
        <v>42722</v>
      </c>
      <c r="D32" s="5">
        <v>808</v>
      </c>
      <c r="E32" s="5">
        <v>5359</v>
      </c>
      <c r="F32" s="5">
        <v>5310</v>
      </c>
      <c r="G32" s="5">
        <v>3310</v>
      </c>
      <c r="H32" s="5">
        <v>3449</v>
      </c>
      <c r="I32" s="5">
        <v>2999</v>
      </c>
      <c r="J32" s="5">
        <v>2597</v>
      </c>
      <c r="K32" s="5">
        <v>3022</v>
      </c>
      <c r="L32" s="5">
        <v>3322</v>
      </c>
      <c r="M32" s="5">
        <v>3346</v>
      </c>
      <c r="N32" s="5">
        <v>3269</v>
      </c>
      <c r="O32" s="5">
        <v>2383</v>
      </c>
      <c r="P32" s="5">
        <v>1705</v>
      </c>
      <c r="Q32" s="5">
        <v>971</v>
      </c>
      <c r="R32" s="5">
        <v>550</v>
      </c>
      <c r="S32" s="5">
        <v>237</v>
      </c>
      <c r="T32" s="5">
        <v>85</v>
      </c>
    </row>
    <row r="33" spans="1:20" x14ac:dyDescent="0.2">
      <c r="A33" s="9" t="s">
        <v>11</v>
      </c>
      <c r="B33" s="6" t="s">
        <v>0</v>
      </c>
      <c r="C33" s="5">
        <v>20017</v>
      </c>
      <c r="D33" s="5">
        <v>401</v>
      </c>
      <c r="E33" s="5">
        <v>2729</v>
      </c>
      <c r="F33" s="5">
        <v>2661</v>
      </c>
      <c r="G33" s="5">
        <v>1610</v>
      </c>
      <c r="H33" s="5">
        <v>1648</v>
      </c>
      <c r="I33" s="5">
        <v>1402</v>
      </c>
      <c r="J33" s="5">
        <v>1168</v>
      </c>
      <c r="K33" s="5">
        <v>1347</v>
      </c>
      <c r="L33" s="5">
        <v>1495</v>
      </c>
      <c r="M33" s="5">
        <v>1527</v>
      </c>
      <c r="N33" s="5">
        <v>1439</v>
      </c>
      <c r="O33" s="5">
        <v>1049</v>
      </c>
      <c r="P33" s="5">
        <v>742</v>
      </c>
      <c r="Q33" s="5">
        <v>440</v>
      </c>
      <c r="R33" s="5">
        <v>233</v>
      </c>
      <c r="S33" s="5">
        <v>92</v>
      </c>
      <c r="T33" s="5">
        <v>34</v>
      </c>
    </row>
    <row r="34" spans="1:20" x14ac:dyDescent="0.2">
      <c r="A34" s="9" t="s">
        <v>11</v>
      </c>
      <c r="B34" s="6" t="s">
        <v>23</v>
      </c>
      <c r="C34" s="5">
        <v>22705</v>
      </c>
      <c r="D34" s="5">
        <v>407</v>
      </c>
      <c r="E34" s="5">
        <v>2630</v>
      </c>
      <c r="F34" s="5">
        <v>2649</v>
      </c>
      <c r="G34" s="5">
        <v>1700</v>
      </c>
      <c r="H34" s="5">
        <v>1801</v>
      </c>
      <c r="I34" s="5">
        <v>1597</v>
      </c>
      <c r="J34" s="5">
        <v>1429</v>
      </c>
      <c r="K34" s="5">
        <v>1675</v>
      </c>
      <c r="L34" s="5">
        <v>1827</v>
      </c>
      <c r="M34" s="5">
        <v>1819</v>
      </c>
      <c r="N34" s="5">
        <v>1830</v>
      </c>
      <c r="O34" s="5">
        <v>1334</v>
      </c>
      <c r="P34" s="5">
        <v>963</v>
      </c>
      <c r="Q34" s="5">
        <v>531</v>
      </c>
      <c r="R34" s="5">
        <v>317</v>
      </c>
      <c r="S34" s="5">
        <v>145</v>
      </c>
      <c r="T34" s="5">
        <v>51</v>
      </c>
    </row>
    <row r="35" spans="1:20" x14ac:dyDescent="0.2">
      <c r="A35" s="9" t="s">
        <v>12</v>
      </c>
      <c r="B35" s="6" t="s">
        <v>22</v>
      </c>
      <c r="C35" s="5">
        <v>284</v>
      </c>
      <c r="D35" s="5">
        <v>5</v>
      </c>
      <c r="E35" s="5">
        <v>30</v>
      </c>
      <c r="F35" s="5">
        <v>38</v>
      </c>
      <c r="G35" s="5">
        <v>34</v>
      </c>
      <c r="H35" s="5">
        <v>26</v>
      </c>
      <c r="I35" s="5">
        <v>30</v>
      </c>
      <c r="J35" s="5">
        <v>21</v>
      </c>
      <c r="K35" s="5">
        <v>26</v>
      </c>
      <c r="L35" s="5">
        <v>27</v>
      </c>
      <c r="M35" s="5">
        <v>26</v>
      </c>
      <c r="N35" s="5">
        <v>15</v>
      </c>
      <c r="O35" s="5">
        <v>6</v>
      </c>
    </row>
    <row r="36" spans="1:20" x14ac:dyDescent="0.2">
      <c r="A36" s="9" t="s">
        <v>12</v>
      </c>
      <c r="B36" s="6" t="s">
        <v>0</v>
      </c>
      <c r="C36" s="5">
        <v>151</v>
      </c>
      <c r="E36" s="5">
        <v>20</v>
      </c>
      <c r="F36" s="5">
        <v>21</v>
      </c>
      <c r="G36" s="5">
        <v>20</v>
      </c>
      <c r="H36" s="5">
        <v>16</v>
      </c>
      <c r="I36" s="5">
        <v>17</v>
      </c>
      <c r="J36" s="5">
        <v>9</v>
      </c>
      <c r="K36" s="5">
        <v>17</v>
      </c>
      <c r="L36" s="5">
        <v>13</v>
      </c>
      <c r="M36" s="5">
        <v>11</v>
      </c>
      <c r="N36" s="5">
        <v>7</v>
      </c>
    </row>
    <row r="37" spans="1:20" x14ac:dyDescent="0.2">
      <c r="A37" s="9" t="s">
        <v>12</v>
      </c>
      <c r="B37" s="6" t="s">
        <v>23</v>
      </c>
      <c r="C37" s="5">
        <v>133</v>
      </c>
      <c r="D37" s="5">
        <v>5</v>
      </c>
      <c r="E37" s="5">
        <v>10</v>
      </c>
      <c r="F37" s="5">
        <v>17</v>
      </c>
      <c r="G37" s="5">
        <v>14</v>
      </c>
      <c r="H37" s="5">
        <v>10</v>
      </c>
      <c r="I37" s="5">
        <v>13</v>
      </c>
      <c r="J37" s="5">
        <v>12</v>
      </c>
      <c r="K37" s="5">
        <v>9</v>
      </c>
      <c r="L37" s="5">
        <v>14</v>
      </c>
      <c r="M37" s="5">
        <v>15</v>
      </c>
      <c r="N37" s="5">
        <v>8</v>
      </c>
      <c r="O37" s="5">
        <v>6</v>
      </c>
    </row>
    <row r="38" spans="1:20" x14ac:dyDescent="0.2">
      <c r="A38" s="9" t="s">
        <v>13</v>
      </c>
      <c r="B38" s="6" t="s">
        <v>22</v>
      </c>
      <c r="C38" s="5">
        <v>3210</v>
      </c>
      <c r="D38" s="5">
        <v>96</v>
      </c>
      <c r="E38" s="5">
        <v>454</v>
      </c>
      <c r="F38" s="5">
        <v>480</v>
      </c>
      <c r="G38" s="5">
        <v>285</v>
      </c>
      <c r="H38" s="5">
        <v>285</v>
      </c>
      <c r="I38" s="5">
        <v>211</v>
      </c>
      <c r="J38" s="5">
        <v>201</v>
      </c>
      <c r="K38" s="5">
        <v>225</v>
      </c>
      <c r="L38" s="5">
        <v>248</v>
      </c>
      <c r="M38" s="5">
        <v>209</v>
      </c>
      <c r="N38" s="5">
        <v>171</v>
      </c>
      <c r="O38" s="5">
        <v>142</v>
      </c>
      <c r="P38" s="5">
        <v>106</v>
      </c>
      <c r="Q38" s="5">
        <v>53</v>
      </c>
      <c r="R38" s="5">
        <v>35</v>
      </c>
      <c r="S38" s="5">
        <v>9</v>
      </c>
    </row>
    <row r="39" spans="1:20" x14ac:dyDescent="0.2">
      <c r="A39" s="9" t="s">
        <v>13</v>
      </c>
      <c r="B39" s="6" t="s">
        <v>0</v>
      </c>
      <c r="C39" s="5">
        <v>1522</v>
      </c>
      <c r="D39" s="5">
        <v>49</v>
      </c>
      <c r="E39" s="5">
        <v>226</v>
      </c>
      <c r="F39" s="5">
        <v>247</v>
      </c>
      <c r="G39" s="5">
        <v>142</v>
      </c>
      <c r="H39" s="5">
        <v>136</v>
      </c>
      <c r="I39" s="5">
        <v>115</v>
      </c>
      <c r="J39" s="5">
        <v>84</v>
      </c>
      <c r="K39" s="5">
        <v>102</v>
      </c>
      <c r="L39" s="5">
        <v>99</v>
      </c>
      <c r="M39" s="5">
        <v>90</v>
      </c>
      <c r="N39" s="5">
        <v>82</v>
      </c>
      <c r="O39" s="5">
        <v>65</v>
      </c>
      <c r="P39" s="5">
        <v>48</v>
      </c>
      <c r="Q39" s="5">
        <v>21</v>
      </c>
      <c r="R39" s="5">
        <v>16</v>
      </c>
    </row>
    <row r="40" spans="1:20" x14ac:dyDescent="0.2">
      <c r="A40" s="9" t="s">
        <v>13</v>
      </c>
      <c r="B40" s="6" t="s">
        <v>23</v>
      </c>
      <c r="C40" s="5">
        <v>1688</v>
      </c>
      <c r="D40" s="5">
        <v>47</v>
      </c>
      <c r="E40" s="5">
        <v>228</v>
      </c>
      <c r="F40" s="5">
        <v>233</v>
      </c>
      <c r="G40" s="5">
        <v>143</v>
      </c>
      <c r="H40" s="5">
        <v>149</v>
      </c>
      <c r="I40" s="5">
        <v>96</v>
      </c>
      <c r="J40" s="5">
        <v>117</v>
      </c>
      <c r="K40" s="5">
        <v>123</v>
      </c>
      <c r="L40" s="5">
        <v>149</v>
      </c>
      <c r="M40" s="5">
        <v>119</v>
      </c>
      <c r="N40" s="5">
        <v>89</v>
      </c>
      <c r="O40" s="5">
        <v>77</v>
      </c>
      <c r="P40" s="5">
        <v>58</v>
      </c>
      <c r="Q40" s="5">
        <v>32</v>
      </c>
      <c r="R40" s="5">
        <v>19</v>
      </c>
      <c r="S40" s="5">
        <v>9</v>
      </c>
    </row>
    <row r="41" spans="1:20" x14ac:dyDescent="0.2">
      <c r="A41" s="9" t="s">
        <v>14</v>
      </c>
      <c r="B41" s="6" t="s">
        <v>22</v>
      </c>
      <c r="C41" s="5">
        <v>23146</v>
      </c>
      <c r="D41" s="5">
        <v>868</v>
      </c>
      <c r="E41" s="5">
        <v>3011</v>
      </c>
      <c r="F41" s="5">
        <v>4313</v>
      </c>
      <c r="G41" s="5">
        <v>2204</v>
      </c>
      <c r="H41" s="5">
        <v>2000</v>
      </c>
      <c r="I41" s="5">
        <v>1596</v>
      </c>
      <c r="J41" s="5">
        <v>1467</v>
      </c>
      <c r="K41" s="5">
        <v>1474</v>
      </c>
      <c r="L41" s="5">
        <v>1494</v>
      </c>
      <c r="M41" s="5">
        <v>1381</v>
      </c>
      <c r="N41" s="5">
        <v>1198</v>
      </c>
      <c r="O41" s="5">
        <v>788</v>
      </c>
      <c r="P41" s="5">
        <v>652</v>
      </c>
      <c r="Q41" s="5">
        <v>340</v>
      </c>
      <c r="R41" s="5">
        <v>230</v>
      </c>
      <c r="S41" s="5">
        <v>97</v>
      </c>
      <c r="T41" s="5">
        <v>33</v>
      </c>
    </row>
    <row r="42" spans="1:20" x14ac:dyDescent="0.2">
      <c r="A42" s="9" t="s">
        <v>14</v>
      </c>
      <c r="B42" s="6" t="s">
        <v>0</v>
      </c>
      <c r="C42" s="5">
        <v>11359</v>
      </c>
      <c r="D42" s="5">
        <v>442</v>
      </c>
      <c r="E42" s="5">
        <v>1613</v>
      </c>
      <c r="F42" s="5">
        <v>2103</v>
      </c>
      <c r="G42" s="5">
        <v>1137</v>
      </c>
      <c r="H42" s="5">
        <v>1033</v>
      </c>
      <c r="I42" s="5">
        <v>797</v>
      </c>
      <c r="J42" s="5">
        <v>696</v>
      </c>
      <c r="K42" s="5">
        <v>710</v>
      </c>
      <c r="L42" s="5">
        <v>631</v>
      </c>
      <c r="M42" s="5">
        <v>603</v>
      </c>
      <c r="N42" s="5">
        <v>554</v>
      </c>
      <c r="O42" s="5">
        <v>383</v>
      </c>
      <c r="P42" s="5">
        <v>312</v>
      </c>
      <c r="Q42" s="5">
        <v>162</v>
      </c>
      <c r="R42" s="5">
        <v>121</v>
      </c>
      <c r="S42" s="5">
        <v>50</v>
      </c>
      <c r="T42" s="5">
        <v>12</v>
      </c>
    </row>
    <row r="43" spans="1:20" x14ac:dyDescent="0.2">
      <c r="A43" s="9" t="s">
        <v>14</v>
      </c>
      <c r="B43" s="6" t="s">
        <v>23</v>
      </c>
      <c r="C43" s="5">
        <v>11787</v>
      </c>
      <c r="D43" s="5">
        <v>426</v>
      </c>
      <c r="E43" s="5">
        <v>1398</v>
      </c>
      <c r="F43" s="5">
        <v>2210</v>
      </c>
      <c r="G43" s="5">
        <v>1067</v>
      </c>
      <c r="H43" s="5">
        <v>967</v>
      </c>
      <c r="I43" s="5">
        <v>799</v>
      </c>
      <c r="J43" s="5">
        <v>771</v>
      </c>
      <c r="K43" s="5">
        <v>764</v>
      </c>
      <c r="L43" s="5">
        <v>863</v>
      </c>
      <c r="M43" s="5">
        <v>778</v>
      </c>
      <c r="N43" s="5">
        <v>644</v>
      </c>
      <c r="O43" s="5">
        <v>405</v>
      </c>
      <c r="P43" s="5">
        <v>340</v>
      </c>
      <c r="Q43" s="5">
        <v>178</v>
      </c>
      <c r="R43" s="5">
        <v>109</v>
      </c>
      <c r="S43" s="5">
        <v>47</v>
      </c>
      <c r="T43" s="5">
        <v>21</v>
      </c>
    </row>
    <row r="44" spans="1:20" x14ac:dyDescent="0.2">
      <c r="A44" s="9" t="s">
        <v>15</v>
      </c>
      <c r="B44" s="6" t="s">
        <v>22</v>
      </c>
      <c r="C44" s="5">
        <v>18164</v>
      </c>
      <c r="D44" s="5">
        <v>788</v>
      </c>
      <c r="E44" s="5">
        <v>2299</v>
      </c>
      <c r="F44" s="5">
        <v>2374</v>
      </c>
      <c r="G44" s="5">
        <v>1453</v>
      </c>
      <c r="H44" s="5">
        <v>1474</v>
      </c>
      <c r="I44" s="5">
        <v>1256</v>
      </c>
      <c r="J44" s="5">
        <v>1163</v>
      </c>
      <c r="K44" s="5">
        <v>1182</v>
      </c>
      <c r="L44" s="5">
        <v>1311</v>
      </c>
      <c r="M44" s="5">
        <v>1200</v>
      </c>
      <c r="N44" s="5">
        <v>1246</v>
      </c>
      <c r="O44" s="5">
        <v>993</v>
      </c>
      <c r="P44" s="5">
        <v>713</v>
      </c>
      <c r="Q44" s="5">
        <v>376</v>
      </c>
      <c r="R44" s="5">
        <v>202</v>
      </c>
      <c r="S44" s="5">
        <v>95</v>
      </c>
      <c r="T44" s="5">
        <v>39</v>
      </c>
    </row>
    <row r="45" spans="1:20" x14ac:dyDescent="0.2">
      <c r="A45" s="9" t="s">
        <v>15</v>
      </c>
      <c r="B45" s="6" t="s">
        <v>0</v>
      </c>
      <c r="C45" s="5">
        <v>8637</v>
      </c>
      <c r="D45" s="5">
        <v>405</v>
      </c>
      <c r="E45" s="5">
        <v>1201</v>
      </c>
      <c r="F45" s="5">
        <v>1224</v>
      </c>
      <c r="G45" s="5">
        <v>698</v>
      </c>
      <c r="H45" s="5">
        <v>698</v>
      </c>
      <c r="I45" s="5">
        <v>567</v>
      </c>
      <c r="J45" s="5">
        <v>516</v>
      </c>
      <c r="K45" s="5">
        <v>551</v>
      </c>
      <c r="L45" s="5">
        <v>591</v>
      </c>
      <c r="M45" s="5">
        <v>536</v>
      </c>
      <c r="N45" s="5">
        <v>546</v>
      </c>
      <c r="O45" s="5">
        <v>483</v>
      </c>
      <c r="P45" s="5">
        <v>351</v>
      </c>
      <c r="Q45" s="5">
        <v>147</v>
      </c>
      <c r="R45" s="5">
        <v>79</v>
      </c>
      <c r="S45" s="5">
        <v>33</v>
      </c>
      <c r="T45" s="5">
        <v>11</v>
      </c>
    </row>
    <row r="46" spans="1:20" x14ac:dyDescent="0.2">
      <c r="A46" s="9" t="s">
        <v>15</v>
      </c>
      <c r="B46" s="6" t="s">
        <v>23</v>
      </c>
      <c r="C46" s="5">
        <v>9527</v>
      </c>
      <c r="D46" s="5">
        <v>383</v>
      </c>
      <c r="E46" s="5">
        <v>1098</v>
      </c>
      <c r="F46" s="5">
        <v>1150</v>
      </c>
      <c r="G46" s="5">
        <v>755</v>
      </c>
      <c r="H46" s="5">
        <v>776</v>
      </c>
      <c r="I46" s="5">
        <v>689</v>
      </c>
      <c r="J46" s="5">
        <v>647</v>
      </c>
      <c r="K46" s="5">
        <v>631</v>
      </c>
      <c r="L46" s="5">
        <v>720</v>
      </c>
      <c r="M46" s="5">
        <v>664</v>
      </c>
      <c r="N46" s="5">
        <v>700</v>
      </c>
      <c r="O46" s="5">
        <v>510</v>
      </c>
      <c r="P46" s="5">
        <v>362</v>
      </c>
      <c r="Q46" s="5">
        <v>229</v>
      </c>
      <c r="R46" s="5">
        <v>123</v>
      </c>
      <c r="S46" s="5">
        <v>62</v>
      </c>
      <c r="T46" s="5">
        <v>28</v>
      </c>
    </row>
    <row r="47" spans="1:20" x14ac:dyDescent="0.2">
      <c r="A47" s="9" t="s">
        <v>16</v>
      </c>
      <c r="B47" s="6" t="s">
        <v>22</v>
      </c>
      <c r="C47" s="5">
        <v>14635</v>
      </c>
      <c r="D47" s="5">
        <v>455</v>
      </c>
      <c r="E47" s="5">
        <v>2061</v>
      </c>
      <c r="F47" s="5">
        <v>2020</v>
      </c>
      <c r="G47" s="5">
        <v>1256</v>
      </c>
      <c r="H47" s="5">
        <v>1287</v>
      </c>
      <c r="I47" s="5">
        <v>1077</v>
      </c>
      <c r="J47" s="5">
        <v>1008</v>
      </c>
      <c r="K47" s="5">
        <v>1043</v>
      </c>
      <c r="L47" s="5">
        <v>1004</v>
      </c>
      <c r="M47" s="5">
        <v>998</v>
      </c>
      <c r="N47" s="5">
        <v>880</v>
      </c>
      <c r="O47" s="5">
        <v>649</v>
      </c>
      <c r="P47" s="5">
        <v>437</v>
      </c>
      <c r="Q47" s="5">
        <v>258</v>
      </c>
      <c r="R47" s="5">
        <v>136</v>
      </c>
      <c r="S47" s="5">
        <v>53</v>
      </c>
      <c r="T47" s="5">
        <v>13</v>
      </c>
    </row>
    <row r="48" spans="1:20" x14ac:dyDescent="0.2">
      <c r="A48" s="9" t="s">
        <v>16</v>
      </c>
      <c r="B48" s="6" t="s">
        <v>0</v>
      </c>
      <c r="C48" s="5">
        <v>7001</v>
      </c>
      <c r="D48" s="5">
        <v>243</v>
      </c>
      <c r="E48" s="5">
        <v>1074</v>
      </c>
      <c r="F48" s="5">
        <v>1039</v>
      </c>
      <c r="G48" s="5">
        <v>643</v>
      </c>
      <c r="H48" s="5">
        <v>598</v>
      </c>
      <c r="I48" s="5">
        <v>462</v>
      </c>
      <c r="J48" s="5">
        <v>481</v>
      </c>
      <c r="K48" s="5">
        <v>458</v>
      </c>
      <c r="L48" s="5">
        <v>441</v>
      </c>
      <c r="M48" s="5">
        <v>463</v>
      </c>
      <c r="N48" s="5">
        <v>398</v>
      </c>
      <c r="O48" s="5">
        <v>292</v>
      </c>
      <c r="P48" s="5">
        <v>208</v>
      </c>
      <c r="Q48" s="5">
        <v>121</v>
      </c>
      <c r="R48" s="5">
        <v>57</v>
      </c>
      <c r="S48" s="5">
        <v>23</v>
      </c>
    </row>
    <row r="49" spans="1:21" x14ac:dyDescent="0.2">
      <c r="A49" s="9" t="s">
        <v>16</v>
      </c>
      <c r="B49" s="6" t="s">
        <v>23</v>
      </c>
      <c r="C49" s="5">
        <v>7634</v>
      </c>
      <c r="D49" s="5">
        <v>212</v>
      </c>
      <c r="E49" s="5">
        <v>987</v>
      </c>
      <c r="F49" s="5">
        <v>981</v>
      </c>
      <c r="G49" s="5">
        <v>613</v>
      </c>
      <c r="H49" s="5">
        <v>689</v>
      </c>
      <c r="I49" s="5">
        <v>615</v>
      </c>
      <c r="J49" s="5">
        <v>527</v>
      </c>
      <c r="K49" s="5">
        <v>585</v>
      </c>
      <c r="L49" s="5">
        <v>563</v>
      </c>
      <c r="M49" s="5">
        <v>535</v>
      </c>
      <c r="N49" s="5">
        <v>482</v>
      </c>
      <c r="O49" s="5">
        <v>357</v>
      </c>
      <c r="P49" s="5">
        <v>229</v>
      </c>
      <c r="Q49" s="5">
        <v>137</v>
      </c>
      <c r="R49" s="5">
        <v>79</v>
      </c>
      <c r="S49" s="5">
        <v>30</v>
      </c>
      <c r="T49" s="5">
        <v>13</v>
      </c>
    </row>
    <row r="50" spans="1:21" x14ac:dyDescent="0.2">
      <c r="A50" s="11" t="s">
        <v>17</v>
      </c>
      <c r="B50" s="6" t="s">
        <v>22</v>
      </c>
      <c r="C50" s="5">
        <v>63603</v>
      </c>
      <c r="D50" s="5">
        <v>1611</v>
      </c>
      <c r="E50" s="5">
        <v>8090</v>
      </c>
      <c r="F50" s="5">
        <v>9793</v>
      </c>
      <c r="G50" s="5">
        <v>6065</v>
      </c>
      <c r="H50" s="5">
        <v>5877</v>
      </c>
      <c r="I50" s="5">
        <v>4846</v>
      </c>
      <c r="J50" s="5">
        <v>4383</v>
      </c>
      <c r="K50" s="5">
        <v>4364</v>
      </c>
      <c r="L50" s="5">
        <v>4363</v>
      </c>
      <c r="M50" s="5">
        <v>4079</v>
      </c>
      <c r="N50" s="5">
        <v>3717</v>
      </c>
      <c r="O50" s="5">
        <v>2739</v>
      </c>
      <c r="P50" s="5">
        <v>1778</v>
      </c>
      <c r="Q50" s="5">
        <v>1050</v>
      </c>
      <c r="R50" s="5">
        <v>552</v>
      </c>
      <c r="S50" s="5">
        <v>207</v>
      </c>
      <c r="T50" s="5">
        <v>89</v>
      </c>
    </row>
    <row r="51" spans="1:21" x14ac:dyDescent="0.2">
      <c r="A51" s="11" t="s">
        <v>17</v>
      </c>
      <c r="B51" s="6" t="s">
        <v>0</v>
      </c>
      <c r="C51" s="5">
        <v>30283</v>
      </c>
      <c r="D51" s="5">
        <v>826</v>
      </c>
      <c r="E51" s="5">
        <v>4030</v>
      </c>
      <c r="F51" s="5">
        <v>4913</v>
      </c>
      <c r="G51" s="5">
        <v>3037</v>
      </c>
      <c r="H51" s="5">
        <v>2818</v>
      </c>
      <c r="I51" s="5">
        <v>2250</v>
      </c>
      <c r="J51" s="5">
        <v>2094</v>
      </c>
      <c r="K51" s="5">
        <v>2025</v>
      </c>
      <c r="L51" s="5">
        <v>2006</v>
      </c>
      <c r="M51" s="5">
        <v>1866</v>
      </c>
      <c r="N51" s="5">
        <v>1664</v>
      </c>
      <c r="O51" s="5">
        <v>1219</v>
      </c>
      <c r="P51" s="5">
        <v>758</v>
      </c>
      <c r="Q51" s="5">
        <v>462</v>
      </c>
      <c r="R51" s="5">
        <v>216</v>
      </c>
      <c r="S51" s="5">
        <v>77</v>
      </c>
      <c r="T51" s="5">
        <v>22</v>
      </c>
    </row>
    <row r="52" spans="1:21" x14ac:dyDescent="0.2">
      <c r="A52" s="11" t="s">
        <v>17</v>
      </c>
      <c r="B52" s="6" t="s">
        <v>23</v>
      </c>
      <c r="C52" s="5">
        <v>33320</v>
      </c>
      <c r="D52" s="5">
        <v>785</v>
      </c>
      <c r="E52" s="5">
        <v>4060</v>
      </c>
      <c r="F52" s="5">
        <v>4880</v>
      </c>
      <c r="G52" s="5">
        <v>3028</v>
      </c>
      <c r="H52" s="5">
        <v>3059</v>
      </c>
      <c r="I52" s="5">
        <v>2596</v>
      </c>
      <c r="J52" s="5">
        <v>2289</v>
      </c>
      <c r="K52" s="5">
        <v>2339</v>
      </c>
      <c r="L52" s="5">
        <v>2357</v>
      </c>
      <c r="M52" s="5">
        <v>2213</v>
      </c>
      <c r="N52" s="5">
        <v>2053</v>
      </c>
      <c r="O52" s="5">
        <v>1520</v>
      </c>
      <c r="P52" s="5">
        <v>1020</v>
      </c>
      <c r="Q52" s="5">
        <v>588</v>
      </c>
      <c r="R52" s="5">
        <v>336</v>
      </c>
      <c r="S52" s="5">
        <v>130</v>
      </c>
      <c r="T52" s="5">
        <v>67</v>
      </c>
    </row>
    <row r="53" spans="1:21" x14ac:dyDescent="0.2">
      <c r="A53" s="9" t="s">
        <v>18</v>
      </c>
      <c r="B53" s="6" t="s">
        <v>22</v>
      </c>
      <c r="C53" s="5">
        <v>5909</v>
      </c>
      <c r="D53" s="5">
        <v>152</v>
      </c>
      <c r="E53" s="5">
        <v>809</v>
      </c>
      <c r="F53" s="5">
        <v>856</v>
      </c>
      <c r="G53" s="5">
        <v>519</v>
      </c>
      <c r="H53" s="5">
        <v>544</v>
      </c>
      <c r="I53" s="5">
        <v>436</v>
      </c>
      <c r="J53" s="5">
        <v>382</v>
      </c>
      <c r="K53" s="5">
        <v>441</v>
      </c>
      <c r="L53" s="5">
        <v>379</v>
      </c>
      <c r="M53" s="5">
        <v>395</v>
      </c>
      <c r="N53" s="5">
        <v>362</v>
      </c>
      <c r="O53" s="5">
        <v>253</v>
      </c>
      <c r="P53" s="5">
        <v>175</v>
      </c>
      <c r="Q53" s="5">
        <v>113</v>
      </c>
      <c r="R53" s="5">
        <v>59</v>
      </c>
      <c r="S53" s="5">
        <v>27</v>
      </c>
      <c r="T53" s="5">
        <v>7</v>
      </c>
    </row>
    <row r="54" spans="1:21" x14ac:dyDescent="0.2">
      <c r="A54" s="9" t="s">
        <v>18</v>
      </c>
      <c r="B54" s="6" t="s">
        <v>0</v>
      </c>
      <c r="C54" s="5">
        <v>2846</v>
      </c>
      <c r="D54" s="5">
        <v>84</v>
      </c>
      <c r="E54" s="5">
        <v>414</v>
      </c>
      <c r="F54" s="5">
        <v>437</v>
      </c>
      <c r="G54" s="5">
        <v>254</v>
      </c>
      <c r="H54" s="5">
        <v>255</v>
      </c>
      <c r="I54" s="5">
        <v>213</v>
      </c>
      <c r="J54" s="5">
        <v>169</v>
      </c>
      <c r="K54" s="5">
        <v>198</v>
      </c>
      <c r="L54" s="5">
        <v>178</v>
      </c>
      <c r="M54" s="5">
        <v>177</v>
      </c>
      <c r="N54" s="5">
        <v>169</v>
      </c>
      <c r="O54" s="5">
        <v>125</v>
      </c>
      <c r="P54" s="5">
        <v>85</v>
      </c>
      <c r="Q54" s="5">
        <v>46</v>
      </c>
      <c r="R54" s="5">
        <v>30</v>
      </c>
      <c r="S54" s="5">
        <v>12</v>
      </c>
    </row>
    <row r="55" spans="1:21" x14ac:dyDescent="0.2">
      <c r="A55" s="9" t="s">
        <v>18</v>
      </c>
      <c r="B55" s="6" t="s">
        <v>23</v>
      </c>
      <c r="C55" s="5">
        <v>3063</v>
      </c>
      <c r="D55" s="5">
        <v>68</v>
      </c>
      <c r="E55" s="5">
        <v>395</v>
      </c>
      <c r="F55" s="5">
        <v>419</v>
      </c>
      <c r="G55" s="5">
        <v>265</v>
      </c>
      <c r="H55" s="5">
        <v>289</v>
      </c>
      <c r="I55" s="5">
        <v>223</v>
      </c>
      <c r="J55" s="5">
        <v>213</v>
      </c>
      <c r="K55" s="5">
        <v>243</v>
      </c>
      <c r="L55" s="5">
        <v>201</v>
      </c>
      <c r="M55" s="5">
        <v>218</v>
      </c>
      <c r="N55" s="5">
        <v>193</v>
      </c>
      <c r="O55" s="5">
        <v>128</v>
      </c>
      <c r="P55" s="5">
        <v>90</v>
      </c>
      <c r="Q55" s="5">
        <v>67</v>
      </c>
      <c r="R55" s="5">
        <v>29</v>
      </c>
      <c r="S55" s="5">
        <v>15</v>
      </c>
      <c r="T55" s="5">
        <v>7</v>
      </c>
    </row>
    <row r="56" spans="1:21" x14ac:dyDescent="0.2">
      <c r="A56" s="9" t="s">
        <v>19</v>
      </c>
      <c r="B56" s="6" t="s">
        <v>22</v>
      </c>
      <c r="C56" s="5">
        <v>38931</v>
      </c>
      <c r="D56" s="5">
        <v>1491</v>
      </c>
      <c r="E56" s="5">
        <v>5281</v>
      </c>
      <c r="F56" s="5">
        <v>6073</v>
      </c>
      <c r="G56" s="5">
        <v>4048</v>
      </c>
      <c r="H56" s="5">
        <v>3617</v>
      </c>
      <c r="I56" s="5">
        <v>2790</v>
      </c>
      <c r="J56" s="5">
        <v>2598</v>
      </c>
      <c r="K56" s="5">
        <v>2779</v>
      </c>
      <c r="L56" s="5">
        <v>2836</v>
      </c>
      <c r="M56" s="5">
        <v>2434</v>
      </c>
      <c r="N56" s="5">
        <v>2031</v>
      </c>
      <c r="O56" s="5">
        <v>1259</v>
      </c>
      <c r="P56" s="5">
        <v>819</v>
      </c>
      <c r="Q56" s="5">
        <v>459</v>
      </c>
      <c r="R56" s="5">
        <v>260</v>
      </c>
      <c r="S56" s="5">
        <v>112</v>
      </c>
      <c r="T56" s="5">
        <v>44</v>
      </c>
    </row>
    <row r="57" spans="1:21" x14ac:dyDescent="0.2">
      <c r="A57" s="10" t="s">
        <v>19</v>
      </c>
      <c r="B57" s="6" t="s">
        <v>0</v>
      </c>
      <c r="C57" s="5">
        <v>18759</v>
      </c>
      <c r="D57" s="5">
        <v>761</v>
      </c>
      <c r="E57" s="5">
        <v>2657</v>
      </c>
      <c r="F57" s="5">
        <v>3131</v>
      </c>
      <c r="G57" s="5">
        <v>1995</v>
      </c>
      <c r="H57" s="5">
        <v>1795</v>
      </c>
      <c r="I57" s="5">
        <v>1355</v>
      </c>
      <c r="J57" s="5">
        <v>1233</v>
      </c>
      <c r="K57" s="5">
        <v>1258</v>
      </c>
      <c r="L57" s="5">
        <v>1318</v>
      </c>
      <c r="M57" s="5">
        <v>1136</v>
      </c>
      <c r="N57" s="5">
        <v>901</v>
      </c>
      <c r="O57" s="5">
        <v>528</v>
      </c>
      <c r="P57" s="5">
        <v>330</v>
      </c>
      <c r="Q57" s="5">
        <v>200</v>
      </c>
      <c r="R57" s="5">
        <v>102</v>
      </c>
      <c r="S57" s="5">
        <v>49</v>
      </c>
      <c r="T57" s="5">
        <v>10</v>
      </c>
    </row>
    <row r="58" spans="1:21" x14ac:dyDescent="0.2">
      <c r="A58" s="10" t="s">
        <v>19</v>
      </c>
      <c r="B58" s="6" t="s">
        <v>23</v>
      </c>
      <c r="C58" s="5">
        <v>20172</v>
      </c>
      <c r="D58" s="5">
        <v>730</v>
      </c>
      <c r="E58" s="5">
        <v>2624</v>
      </c>
      <c r="F58" s="5">
        <v>2942</v>
      </c>
      <c r="G58" s="5">
        <v>2053</v>
      </c>
      <c r="H58" s="5">
        <v>1822</v>
      </c>
      <c r="I58" s="5">
        <v>1435</v>
      </c>
      <c r="J58" s="5">
        <v>1365</v>
      </c>
      <c r="K58" s="5">
        <v>1521</v>
      </c>
      <c r="L58" s="5">
        <v>1518</v>
      </c>
      <c r="M58" s="5">
        <v>1298</v>
      </c>
      <c r="N58" s="5">
        <v>1130</v>
      </c>
      <c r="O58" s="5">
        <v>731</v>
      </c>
      <c r="P58" s="5">
        <v>489</v>
      </c>
      <c r="Q58" s="5">
        <v>259</v>
      </c>
      <c r="R58" s="5">
        <v>158</v>
      </c>
      <c r="S58" s="5">
        <v>63</v>
      </c>
      <c r="T58" s="5">
        <v>34</v>
      </c>
    </row>
    <row r="59" spans="1:21" x14ac:dyDescent="0.2">
      <c r="A59" s="9" t="s">
        <v>20</v>
      </c>
      <c r="B59" s="6" t="s">
        <v>22</v>
      </c>
      <c r="C59" s="5">
        <v>2553</v>
      </c>
      <c r="D59" s="5">
        <v>94</v>
      </c>
      <c r="E59" s="5">
        <v>314</v>
      </c>
      <c r="F59" s="5">
        <v>329</v>
      </c>
      <c r="G59" s="5">
        <v>208</v>
      </c>
      <c r="H59" s="5">
        <v>210</v>
      </c>
      <c r="I59" s="5">
        <v>147</v>
      </c>
      <c r="J59" s="5">
        <v>166</v>
      </c>
      <c r="K59" s="5">
        <v>169</v>
      </c>
      <c r="L59" s="5">
        <v>191</v>
      </c>
      <c r="M59" s="5">
        <v>225</v>
      </c>
      <c r="N59" s="5">
        <v>206</v>
      </c>
      <c r="O59" s="5">
        <v>118</v>
      </c>
      <c r="P59" s="5">
        <v>77</v>
      </c>
      <c r="Q59" s="5">
        <v>59</v>
      </c>
      <c r="R59" s="5">
        <v>27</v>
      </c>
      <c r="S59" s="5">
        <v>8</v>
      </c>
      <c r="T59" s="5">
        <v>5</v>
      </c>
    </row>
    <row r="60" spans="1:21" x14ac:dyDescent="0.2">
      <c r="A60" s="9" t="s">
        <v>20</v>
      </c>
      <c r="B60" s="6" t="s">
        <v>0</v>
      </c>
      <c r="C60" s="5">
        <v>1257</v>
      </c>
      <c r="D60" s="5">
        <v>50</v>
      </c>
      <c r="E60" s="5">
        <v>183</v>
      </c>
      <c r="F60" s="5">
        <v>183</v>
      </c>
      <c r="G60" s="5">
        <v>108</v>
      </c>
      <c r="H60" s="5">
        <v>99</v>
      </c>
      <c r="I60" s="5">
        <v>64</v>
      </c>
      <c r="J60" s="5">
        <v>78</v>
      </c>
      <c r="K60" s="5">
        <v>69</v>
      </c>
      <c r="L60" s="5">
        <v>79</v>
      </c>
      <c r="M60" s="5">
        <v>102</v>
      </c>
      <c r="N60" s="5">
        <v>101</v>
      </c>
      <c r="O60" s="5">
        <v>59</v>
      </c>
      <c r="P60" s="5">
        <v>37</v>
      </c>
      <c r="Q60" s="5">
        <v>23</v>
      </c>
      <c r="R60" s="5">
        <v>9</v>
      </c>
      <c r="S60" s="5">
        <v>8</v>
      </c>
      <c r="T60" s="5">
        <v>5</v>
      </c>
    </row>
    <row r="61" spans="1:21" x14ac:dyDescent="0.2">
      <c r="A61" s="9" t="s">
        <v>20</v>
      </c>
      <c r="B61" s="6" t="s">
        <v>23</v>
      </c>
      <c r="C61" s="5">
        <v>1296</v>
      </c>
      <c r="D61" s="5">
        <v>44</v>
      </c>
      <c r="E61" s="5">
        <v>131</v>
      </c>
      <c r="F61" s="5">
        <v>146</v>
      </c>
      <c r="G61" s="5">
        <v>100</v>
      </c>
      <c r="H61" s="5">
        <v>111</v>
      </c>
      <c r="I61" s="5">
        <v>83</v>
      </c>
      <c r="J61" s="5">
        <v>88</v>
      </c>
      <c r="K61" s="5">
        <v>100</v>
      </c>
      <c r="L61" s="5">
        <v>112</v>
      </c>
      <c r="M61" s="5">
        <v>123</v>
      </c>
      <c r="N61" s="5">
        <v>105</v>
      </c>
      <c r="O61" s="5">
        <v>59</v>
      </c>
      <c r="P61" s="5">
        <v>40</v>
      </c>
      <c r="Q61" s="5">
        <v>36</v>
      </c>
      <c r="R61" s="5">
        <v>18</v>
      </c>
    </row>
    <row r="62" spans="1:21" x14ac:dyDescent="0.2">
      <c r="A62" s="13" t="s">
        <v>21</v>
      </c>
      <c r="B62" s="6" t="s">
        <v>22</v>
      </c>
      <c r="C62" s="5">
        <v>11844</v>
      </c>
      <c r="D62" s="5">
        <v>297</v>
      </c>
      <c r="E62" s="5">
        <v>1470</v>
      </c>
      <c r="F62" s="5">
        <v>1592</v>
      </c>
      <c r="G62" s="5">
        <v>1057</v>
      </c>
      <c r="H62" s="5">
        <v>1034</v>
      </c>
      <c r="I62" s="5">
        <v>810</v>
      </c>
      <c r="J62" s="5">
        <v>749</v>
      </c>
      <c r="K62" s="5">
        <v>754</v>
      </c>
      <c r="L62" s="5">
        <v>927</v>
      </c>
      <c r="M62" s="5">
        <v>837</v>
      </c>
      <c r="N62" s="5">
        <v>814</v>
      </c>
      <c r="O62" s="5">
        <v>581</v>
      </c>
      <c r="P62" s="5">
        <v>453</v>
      </c>
      <c r="Q62" s="5">
        <v>249</v>
      </c>
      <c r="R62" s="5">
        <v>139</v>
      </c>
      <c r="S62" s="5">
        <v>60</v>
      </c>
      <c r="T62" s="5">
        <v>21</v>
      </c>
      <c r="U62" s="7"/>
    </row>
    <row r="63" spans="1:21" x14ac:dyDescent="0.2">
      <c r="A63" s="10" t="s">
        <v>21</v>
      </c>
      <c r="B63" s="6" t="s">
        <v>0</v>
      </c>
      <c r="C63" s="5">
        <v>5610</v>
      </c>
      <c r="D63" s="5">
        <v>159</v>
      </c>
      <c r="E63" s="5">
        <v>761</v>
      </c>
      <c r="F63" s="5">
        <v>796</v>
      </c>
      <c r="G63" s="5">
        <v>518</v>
      </c>
      <c r="H63" s="5">
        <v>489</v>
      </c>
      <c r="I63" s="5">
        <v>376</v>
      </c>
      <c r="J63" s="5">
        <v>353</v>
      </c>
      <c r="K63" s="5">
        <v>321</v>
      </c>
      <c r="L63" s="5">
        <v>434</v>
      </c>
      <c r="M63" s="5">
        <v>364</v>
      </c>
      <c r="N63" s="5">
        <v>364</v>
      </c>
      <c r="O63" s="5">
        <v>265</v>
      </c>
      <c r="P63" s="5">
        <v>207</v>
      </c>
      <c r="Q63" s="5">
        <v>111</v>
      </c>
      <c r="R63" s="5">
        <v>65</v>
      </c>
      <c r="S63" s="5">
        <v>20</v>
      </c>
      <c r="T63" s="5">
        <v>7</v>
      </c>
    </row>
    <row r="64" spans="1:21" x14ac:dyDescent="0.2">
      <c r="A64" s="10" t="s">
        <v>21</v>
      </c>
      <c r="B64" s="6" t="s">
        <v>23</v>
      </c>
      <c r="C64" s="5">
        <v>6234</v>
      </c>
      <c r="D64" s="5">
        <v>138</v>
      </c>
      <c r="E64" s="5">
        <v>709</v>
      </c>
      <c r="F64" s="5">
        <v>796</v>
      </c>
      <c r="G64" s="5">
        <v>539</v>
      </c>
      <c r="H64" s="5">
        <v>545</v>
      </c>
      <c r="I64" s="5">
        <v>434</v>
      </c>
      <c r="J64" s="5">
        <v>396</v>
      </c>
      <c r="K64" s="5">
        <v>433</v>
      </c>
      <c r="L64" s="5">
        <v>493</v>
      </c>
      <c r="M64" s="5">
        <v>473</v>
      </c>
      <c r="N64" s="5">
        <v>450</v>
      </c>
      <c r="O64" s="5">
        <v>316</v>
      </c>
      <c r="P64" s="5">
        <v>246</v>
      </c>
      <c r="Q64" s="5">
        <v>138</v>
      </c>
      <c r="R64" s="5">
        <v>74</v>
      </c>
      <c r="S64" s="5">
        <v>40</v>
      </c>
      <c r="T64" s="5">
        <v>14</v>
      </c>
    </row>
    <row r="65" spans="1:20" x14ac:dyDescent="0.2">
      <c r="A65" s="13" t="s">
        <v>22</v>
      </c>
      <c r="B65" s="6" t="s">
        <v>22</v>
      </c>
      <c r="C65" s="5">
        <v>524463</v>
      </c>
      <c r="D65" s="5">
        <v>15883</v>
      </c>
      <c r="E65" s="5">
        <v>67309</v>
      </c>
      <c r="F65" s="5">
        <v>79286</v>
      </c>
      <c r="G65" s="5">
        <v>50012</v>
      </c>
      <c r="H65" s="5">
        <v>47004</v>
      </c>
      <c r="I65" s="5">
        <v>37749</v>
      </c>
      <c r="J65" s="5">
        <v>34742</v>
      </c>
      <c r="K65" s="5">
        <v>36133</v>
      </c>
      <c r="L65" s="5">
        <v>37653</v>
      </c>
      <c r="M65" s="5">
        <v>34418</v>
      </c>
      <c r="N65" s="5">
        <v>31164</v>
      </c>
      <c r="O65" s="5">
        <v>21974</v>
      </c>
      <c r="P65" s="5">
        <v>15285</v>
      </c>
      <c r="Q65" s="5">
        <v>8497</v>
      </c>
      <c r="R65" s="5">
        <v>4780</v>
      </c>
      <c r="S65" s="5">
        <v>1882</v>
      </c>
      <c r="T65" s="5">
        <v>692</v>
      </c>
    </row>
    <row r="66" spans="1:20" x14ac:dyDescent="0.2">
      <c r="A66" s="10" t="s">
        <v>22</v>
      </c>
      <c r="B66" s="6" t="s">
        <v>0</v>
      </c>
      <c r="C66" s="5">
        <v>250086</v>
      </c>
      <c r="D66" s="5">
        <v>8052</v>
      </c>
      <c r="E66" s="5">
        <v>34196</v>
      </c>
      <c r="F66" s="5">
        <v>39655</v>
      </c>
      <c r="G66" s="5">
        <v>24540</v>
      </c>
      <c r="H66" s="5">
        <v>22504</v>
      </c>
      <c r="I66" s="5">
        <v>17695</v>
      </c>
      <c r="J66" s="5">
        <v>16262</v>
      </c>
      <c r="K66" s="5">
        <v>16588</v>
      </c>
      <c r="L66" s="5">
        <v>17150</v>
      </c>
      <c r="M66" s="5">
        <v>15798</v>
      </c>
      <c r="N66" s="5">
        <v>14181</v>
      </c>
      <c r="O66" s="5">
        <v>9901</v>
      </c>
      <c r="P66" s="5">
        <v>6867</v>
      </c>
      <c r="Q66" s="5">
        <v>3762</v>
      </c>
      <c r="R66" s="5">
        <v>2021</v>
      </c>
      <c r="S66" s="5">
        <v>734</v>
      </c>
      <c r="T66" s="5">
        <v>180</v>
      </c>
    </row>
    <row r="67" spans="1:20" x14ac:dyDescent="0.2">
      <c r="A67" s="10" t="s">
        <v>22</v>
      </c>
      <c r="B67" s="6" t="s">
        <v>23</v>
      </c>
      <c r="C67" s="5">
        <v>274377</v>
      </c>
      <c r="D67" s="5">
        <v>7831</v>
      </c>
      <c r="E67" s="5">
        <v>33113</v>
      </c>
      <c r="F67" s="5">
        <v>39631</v>
      </c>
      <c r="G67" s="5">
        <v>25472</v>
      </c>
      <c r="H67" s="5">
        <v>24500</v>
      </c>
      <c r="I67" s="5">
        <v>20054</v>
      </c>
      <c r="J67" s="5">
        <v>18480</v>
      </c>
      <c r="K67" s="5">
        <v>19545</v>
      </c>
      <c r="L67" s="5">
        <v>20503</v>
      </c>
      <c r="M67" s="5">
        <v>18620</v>
      </c>
      <c r="N67" s="5">
        <v>16983</v>
      </c>
      <c r="O67" s="5">
        <v>12073</v>
      </c>
      <c r="P67" s="5">
        <v>8418</v>
      </c>
      <c r="Q67" s="5">
        <v>4735</v>
      </c>
      <c r="R67" s="5">
        <v>2759</v>
      </c>
      <c r="S67" s="5">
        <v>1148</v>
      </c>
      <c r="T67" s="5">
        <v>512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AC01-4AC9-6F48-9320-A8BDD727E5D4}">
  <dimension ref="A1:V153"/>
  <sheetViews>
    <sheetView workbookViewId="0">
      <selection activeCell="Q111" sqref="Q111"/>
    </sheetView>
  </sheetViews>
  <sheetFormatPr baseColWidth="10" defaultRowHeight="16" x14ac:dyDescent="0.2"/>
  <sheetData>
    <row r="1" spans="1:22" x14ac:dyDescent="0.2">
      <c r="A1" s="16" t="s">
        <v>67</v>
      </c>
      <c r="B1" s="17"/>
      <c r="C1" s="17"/>
    </row>
    <row r="3" spans="1:22" x14ac:dyDescent="0.2">
      <c r="A3" s="18"/>
      <c r="B3" s="18"/>
      <c r="C3" s="41" t="s">
        <v>44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spans="1:22" x14ac:dyDescent="0.2">
      <c r="A4" s="18" t="s">
        <v>45</v>
      </c>
      <c r="B4" s="18" t="s">
        <v>42</v>
      </c>
      <c r="C4" s="19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8" t="s">
        <v>53</v>
      </c>
      <c r="K4" s="18" t="s">
        <v>54</v>
      </c>
      <c r="L4" s="18" t="s">
        <v>55</v>
      </c>
      <c r="M4" s="18" t="s">
        <v>56</v>
      </c>
      <c r="N4" s="18" t="s">
        <v>57</v>
      </c>
      <c r="O4" s="18" t="s">
        <v>58</v>
      </c>
      <c r="P4" s="18" t="s">
        <v>59</v>
      </c>
      <c r="Q4" s="18" t="s">
        <v>60</v>
      </c>
      <c r="R4" s="18" t="s">
        <v>61</v>
      </c>
      <c r="S4" s="18" t="s">
        <v>62</v>
      </c>
      <c r="T4" s="18" t="s">
        <v>63</v>
      </c>
      <c r="U4" s="18" t="s">
        <v>64</v>
      </c>
    </row>
    <row r="5" spans="1:22" x14ac:dyDescent="0.2">
      <c r="A5" s="18" t="s">
        <v>0</v>
      </c>
      <c r="B5" s="20" t="s">
        <v>1</v>
      </c>
      <c r="C5" s="26">
        <v>19080</v>
      </c>
      <c r="D5" s="21"/>
      <c r="E5" s="27">
        <v>2690.9867615326298</v>
      </c>
      <c r="F5" s="27">
        <v>2310.9570187204758</v>
      </c>
      <c r="G5" s="27">
        <v>2328.0562197468948</v>
      </c>
      <c r="H5" s="21">
        <v>2220</v>
      </c>
      <c r="I5" s="21">
        <v>1720</v>
      </c>
      <c r="J5" s="21">
        <v>1170</v>
      </c>
      <c r="K5" s="21">
        <v>1140</v>
      </c>
      <c r="L5" s="21">
        <v>1230</v>
      </c>
      <c r="M5" s="21">
        <v>1040</v>
      </c>
      <c r="N5" s="21">
        <v>1060</v>
      </c>
      <c r="O5" s="21">
        <v>870</v>
      </c>
      <c r="P5" s="21">
        <v>530</v>
      </c>
      <c r="Q5" s="21">
        <v>380</v>
      </c>
      <c r="R5" s="21">
        <v>210</v>
      </c>
      <c r="S5" s="21">
        <v>110</v>
      </c>
      <c r="T5" s="22">
        <v>50</v>
      </c>
      <c r="U5" s="22">
        <v>20</v>
      </c>
    </row>
    <row r="6" spans="1:22" x14ac:dyDescent="0.2">
      <c r="A6" s="18" t="s">
        <v>0</v>
      </c>
      <c r="B6" s="20" t="s">
        <v>2</v>
      </c>
      <c r="C6" s="26">
        <v>31220</v>
      </c>
      <c r="D6" s="21"/>
      <c r="E6" s="27">
        <v>4996.4979296669972</v>
      </c>
      <c r="F6" s="27">
        <v>4290.8765381699423</v>
      </c>
      <c r="G6" s="27">
        <v>4322.6255321630606</v>
      </c>
      <c r="H6" s="21">
        <v>2350</v>
      </c>
      <c r="I6" s="21">
        <v>2230</v>
      </c>
      <c r="J6" s="21">
        <v>1970</v>
      </c>
      <c r="K6" s="21">
        <v>1810</v>
      </c>
      <c r="L6" s="21">
        <v>1840</v>
      </c>
      <c r="M6" s="21">
        <v>1770</v>
      </c>
      <c r="N6" s="21">
        <v>1640</v>
      </c>
      <c r="O6" s="21">
        <v>1410</v>
      </c>
      <c r="P6" s="21">
        <v>1050</v>
      </c>
      <c r="Q6" s="21">
        <v>780</v>
      </c>
      <c r="R6" s="21">
        <v>410</v>
      </c>
      <c r="S6" s="21">
        <v>220</v>
      </c>
      <c r="T6" s="21">
        <v>100</v>
      </c>
      <c r="U6" s="22">
        <v>30</v>
      </c>
    </row>
    <row r="7" spans="1:22" x14ac:dyDescent="0.2">
      <c r="A7" s="18" t="s">
        <v>0</v>
      </c>
      <c r="B7" s="20" t="s">
        <v>3</v>
      </c>
      <c r="C7" s="26">
        <v>27620</v>
      </c>
      <c r="D7" s="21"/>
      <c r="E7" s="27">
        <v>4390.7505686125851</v>
      </c>
      <c r="F7" s="27">
        <v>3770.6747536012131</v>
      </c>
      <c r="G7" s="27">
        <v>3798.5746777862018</v>
      </c>
      <c r="H7" s="21">
        <v>2670</v>
      </c>
      <c r="I7" s="21">
        <v>2340</v>
      </c>
      <c r="J7" s="21">
        <v>1730</v>
      </c>
      <c r="K7" s="21">
        <v>1610</v>
      </c>
      <c r="L7" s="21">
        <v>1570</v>
      </c>
      <c r="M7" s="21">
        <v>1670</v>
      </c>
      <c r="N7" s="21">
        <v>1280</v>
      </c>
      <c r="O7" s="21">
        <v>1060</v>
      </c>
      <c r="P7" s="21">
        <v>730</v>
      </c>
      <c r="Q7" s="21">
        <v>500</v>
      </c>
      <c r="R7" s="21">
        <v>290</v>
      </c>
      <c r="S7" s="21">
        <v>130</v>
      </c>
      <c r="T7" s="21">
        <v>60</v>
      </c>
      <c r="U7" s="22">
        <v>20</v>
      </c>
    </row>
    <row r="8" spans="1:22" x14ac:dyDescent="0.2">
      <c r="A8" s="18" t="s">
        <v>0</v>
      </c>
      <c r="B8" s="20" t="s">
        <v>4</v>
      </c>
      <c r="C8" s="26">
        <v>17550</v>
      </c>
      <c r="D8" s="21"/>
      <c r="E8" s="27">
        <v>2724.0275266810522</v>
      </c>
      <c r="F8" s="27">
        <v>2339.3316615151339</v>
      </c>
      <c r="G8" s="27">
        <v>2356.6408118038144</v>
      </c>
      <c r="H8" s="21">
        <v>1960</v>
      </c>
      <c r="I8" s="21">
        <v>1560</v>
      </c>
      <c r="J8" s="21">
        <v>1020</v>
      </c>
      <c r="K8" s="21">
        <v>1020</v>
      </c>
      <c r="L8" s="21">
        <v>1060</v>
      </c>
      <c r="M8" s="21">
        <v>1020</v>
      </c>
      <c r="N8" s="21">
        <v>900</v>
      </c>
      <c r="O8" s="21">
        <v>600</v>
      </c>
      <c r="P8" s="21">
        <v>450</v>
      </c>
      <c r="Q8" s="21">
        <v>270</v>
      </c>
      <c r="R8" s="21">
        <v>150</v>
      </c>
      <c r="S8" s="21">
        <v>80</v>
      </c>
      <c r="T8" s="21">
        <v>30</v>
      </c>
      <c r="U8" s="22">
        <v>10</v>
      </c>
    </row>
    <row r="9" spans="1:22" x14ac:dyDescent="0.2">
      <c r="A9" s="18" t="s">
        <v>0</v>
      </c>
      <c r="B9" s="20" t="s">
        <v>5</v>
      </c>
      <c r="C9" s="26">
        <v>43480</v>
      </c>
      <c r="D9" s="21"/>
      <c r="E9" s="27">
        <v>7500.2536886918997</v>
      </c>
      <c r="F9" s="27">
        <v>6441.0439143873564</v>
      </c>
      <c r="G9" s="27">
        <v>6488.7023969207448</v>
      </c>
      <c r="H9" s="21">
        <v>3870</v>
      </c>
      <c r="I9" s="21">
        <v>3360</v>
      </c>
      <c r="J9" s="21">
        <v>2500</v>
      </c>
      <c r="K9" s="21">
        <v>2320</v>
      </c>
      <c r="L9" s="21">
        <v>2420</v>
      </c>
      <c r="M9" s="21">
        <v>2450</v>
      </c>
      <c r="N9" s="21">
        <v>2130</v>
      </c>
      <c r="O9" s="21">
        <v>1620</v>
      </c>
      <c r="P9" s="21">
        <v>1040</v>
      </c>
      <c r="Q9" s="21">
        <v>670</v>
      </c>
      <c r="R9" s="21">
        <v>370</v>
      </c>
      <c r="S9" s="21">
        <v>210</v>
      </c>
      <c r="T9" s="21">
        <v>60</v>
      </c>
      <c r="U9" s="22">
        <v>30</v>
      </c>
    </row>
    <row r="10" spans="1:22" x14ac:dyDescent="0.2">
      <c r="A10" s="18" t="s">
        <v>0</v>
      </c>
      <c r="B10" s="20" t="s">
        <v>6</v>
      </c>
      <c r="C10" s="26">
        <v>22100</v>
      </c>
      <c r="D10" s="21"/>
      <c r="E10" s="27">
        <v>3564.7314399020238</v>
      </c>
      <c r="F10" s="27">
        <v>3061.3086837347641</v>
      </c>
      <c r="G10" s="27">
        <v>3083.9598763632125</v>
      </c>
      <c r="H10" s="21">
        <v>1860</v>
      </c>
      <c r="I10" s="21">
        <v>1570</v>
      </c>
      <c r="J10" s="21">
        <v>1310</v>
      </c>
      <c r="K10" s="21">
        <v>1240</v>
      </c>
      <c r="L10" s="21">
        <v>1300</v>
      </c>
      <c r="M10" s="21">
        <v>1230</v>
      </c>
      <c r="N10" s="21">
        <v>1190</v>
      </c>
      <c r="O10" s="21">
        <v>1000</v>
      </c>
      <c r="P10" s="21">
        <v>750</v>
      </c>
      <c r="Q10" s="21">
        <v>500</v>
      </c>
      <c r="R10" s="21">
        <v>240</v>
      </c>
      <c r="S10" s="21">
        <v>140</v>
      </c>
      <c r="T10" s="21">
        <v>50</v>
      </c>
      <c r="U10" s="22">
        <v>10</v>
      </c>
    </row>
    <row r="11" spans="1:22" x14ac:dyDescent="0.2">
      <c r="A11" s="18" t="s">
        <v>0</v>
      </c>
      <c r="B11" s="20" t="s">
        <v>7</v>
      </c>
      <c r="C11" s="26">
        <v>13270</v>
      </c>
      <c r="D11" s="21"/>
      <c r="E11" s="27">
        <v>2059.5410275850004</v>
      </c>
      <c r="F11" s="27">
        <v>1768.6860675336795</v>
      </c>
      <c r="G11" s="27">
        <v>1781.7729048813205</v>
      </c>
      <c r="H11" s="21">
        <v>1180</v>
      </c>
      <c r="I11" s="21">
        <v>1190</v>
      </c>
      <c r="J11" s="21">
        <v>820</v>
      </c>
      <c r="K11" s="21">
        <v>880</v>
      </c>
      <c r="L11" s="21">
        <v>830</v>
      </c>
      <c r="M11" s="21">
        <v>740</v>
      </c>
      <c r="N11" s="21">
        <v>660</v>
      </c>
      <c r="O11" s="21">
        <v>580</v>
      </c>
      <c r="P11" s="21">
        <v>340</v>
      </c>
      <c r="Q11" s="21">
        <v>230</v>
      </c>
      <c r="R11" s="21">
        <v>130</v>
      </c>
      <c r="S11" s="21">
        <v>40</v>
      </c>
      <c r="T11" s="21">
        <v>30</v>
      </c>
      <c r="U11" s="22">
        <v>10</v>
      </c>
    </row>
    <row r="12" spans="1:22" x14ac:dyDescent="0.2">
      <c r="A12" s="18" t="s">
        <v>0</v>
      </c>
      <c r="B12" s="20" t="s">
        <v>8</v>
      </c>
      <c r="C12" s="26">
        <v>19880</v>
      </c>
      <c r="D12" s="21"/>
      <c r="E12" s="27">
        <v>3142.5438852277366</v>
      </c>
      <c r="F12" s="27">
        <v>2698.7438035808013</v>
      </c>
      <c r="G12" s="27">
        <v>2718.712311191462</v>
      </c>
      <c r="H12" s="21">
        <v>1570</v>
      </c>
      <c r="I12" s="21">
        <v>1490</v>
      </c>
      <c r="J12" s="21">
        <v>1210</v>
      </c>
      <c r="K12" s="21">
        <v>1160</v>
      </c>
      <c r="L12" s="21">
        <v>1260</v>
      </c>
      <c r="M12" s="21">
        <v>1190</v>
      </c>
      <c r="N12" s="21">
        <v>1090</v>
      </c>
      <c r="O12" s="21">
        <v>910</v>
      </c>
      <c r="P12" s="21">
        <v>590</v>
      </c>
      <c r="Q12" s="21">
        <v>430</v>
      </c>
      <c r="R12" s="21">
        <v>240</v>
      </c>
      <c r="S12" s="21">
        <v>110</v>
      </c>
      <c r="T12" s="21">
        <v>60</v>
      </c>
      <c r="U12" s="22">
        <v>10</v>
      </c>
    </row>
    <row r="13" spans="1:22" x14ac:dyDescent="0.2">
      <c r="A13" s="18" t="s">
        <v>0</v>
      </c>
      <c r="B13" s="20" t="s">
        <v>9</v>
      </c>
      <c r="C13" s="26">
        <v>18260</v>
      </c>
      <c r="D13" s="21"/>
      <c r="E13" s="27">
        <v>3069.119962675687</v>
      </c>
      <c r="F13" s="27">
        <v>2635.6890418148951</v>
      </c>
      <c r="G13" s="27">
        <v>2655.1909955094188</v>
      </c>
      <c r="H13" s="21">
        <v>1670</v>
      </c>
      <c r="I13" s="21">
        <v>1400</v>
      </c>
      <c r="J13" s="21">
        <v>1060</v>
      </c>
      <c r="K13" s="21">
        <v>1000</v>
      </c>
      <c r="L13" s="21">
        <v>990</v>
      </c>
      <c r="M13" s="21">
        <v>960</v>
      </c>
      <c r="N13" s="21">
        <v>870</v>
      </c>
      <c r="O13" s="21">
        <v>730</v>
      </c>
      <c r="P13" s="21">
        <v>490</v>
      </c>
      <c r="Q13" s="21">
        <v>360</v>
      </c>
      <c r="R13" s="21">
        <v>200</v>
      </c>
      <c r="S13" s="21">
        <v>110</v>
      </c>
      <c r="T13" s="21">
        <v>40</v>
      </c>
      <c r="U13" s="22">
        <v>20</v>
      </c>
    </row>
    <row r="14" spans="1:22" x14ac:dyDescent="0.2">
      <c r="A14" s="18" t="s">
        <v>0</v>
      </c>
      <c r="B14" s="20" t="s">
        <v>10</v>
      </c>
      <c r="C14" s="26">
        <v>8490</v>
      </c>
      <c r="D14" s="21"/>
      <c r="E14" s="27">
        <v>1354.6713710853212</v>
      </c>
      <c r="F14" s="27">
        <v>1163.3603545809763</v>
      </c>
      <c r="G14" s="27">
        <v>1171.9682743337028</v>
      </c>
      <c r="H14" s="21">
        <v>680</v>
      </c>
      <c r="I14" s="21">
        <v>580</v>
      </c>
      <c r="J14" s="21">
        <v>480</v>
      </c>
      <c r="K14" s="21">
        <v>480</v>
      </c>
      <c r="L14" s="21">
        <v>540</v>
      </c>
      <c r="M14" s="21">
        <v>520</v>
      </c>
      <c r="N14" s="21">
        <v>490</v>
      </c>
      <c r="O14" s="21">
        <v>380</v>
      </c>
      <c r="P14" s="21">
        <v>260</v>
      </c>
      <c r="Q14" s="21">
        <v>170</v>
      </c>
      <c r="R14" s="21">
        <v>120</v>
      </c>
      <c r="S14" s="21">
        <v>60</v>
      </c>
      <c r="T14" s="21">
        <v>30</v>
      </c>
      <c r="U14" s="22">
        <v>10</v>
      </c>
    </row>
    <row r="15" spans="1:22" x14ac:dyDescent="0.2">
      <c r="A15" s="18" t="s">
        <v>0</v>
      </c>
      <c r="B15" s="20" t="s">
        <v>11</v>
      </c>
      <c r="C15" s="26">
        <v>32530</v>
      </c>
      <c r="D15" s="21"/>
      <c r="E15" s="27">
        <v>5018.5251064326121</v>
      </c>
      <c r="F15" s="27">
        <v>4309.7929666997143</v>
      </c>
      <c r="G15" s="27">
        <v>4341.6819268676736</v>
      </c>
      <c r="H15" s="21">
        <v>2470</v>
      </c>
      <c r="I15" s="21">
        <v>2340</v>
      </c>
      <c r="J15" s="21">
        <v>1960</v>
      </c>
      <c r="K15" s="21">
        <v>1680</v>
      </c>
      <c r="L15" s="21">
        <v>1940</v>
      </c>
      <c r="M15" s="21">
        <v>1960</v>
      </c>
      <c r="N15" s="21">
        <v>1960</v>
      </c>
      <c r="O15" s="21">
        <v>1650</v>
      </c>
      <c r="P15" s="21">
        <v>1200</v>
      </c>
      <c r="Q15" s="21">
        <v>830</v>
      </c>
      <c r="R15" s="21">
        <v>480</v>
      </c>
      <c r="S15" s="21">
        <v>260</v>
      </c>
      <c r="T15" s="21">
        <v>100</v>
      </c>
      <c r="U15" s="22">
        <v>30</v>
      </c>
    </row>
    <row r="16" spans="1:22" x14ac:dyDescent="0.2">
      <c r="A16" s="18" t="s">
        <v>0</v>
      </c>
      <c r="B16" s="20" t="s">
        <v>12</v>
      </c>
      <c r="C16" s="26">
        <v>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1:21" x14ac:dyDescent="0.2">
      <c r="A17" s="18" t="s">
        <v>0</v>
      </c>
      <c r="B17" s="20" t="s">
        <v>13</v>
      </c>
      <c r="C17" s="26">
        <v>2640</v>
      </c>
      <c r="D17" s="21"/>
      <c r="E17" s="28">
        <v>447.88592756750455</v>
      </c>
      <c r="F17" s="28">
        <v>384.6340467720301</v>
      </c>
      <c r="G17" s="28">
        <v>387.4800256604654</v>
      </c>
      <c r="H17" s="21">
        <v>200</v>
      </c>
      <c r="I17" s="21">
        <v>200</v>
      </c>
      <c r="J17" s="21">
        <v>160</v>
      </c>
      <c r="K17" s="21">
        <v>140</v>
      </c>
      <c r="L17" s="21">
        <v>160</v>
      </c>
      <c r="M17" s="21">
        <v>140</v>
      </c>
      <c r="N17" s="21">
        <v>130</v>
      </c>
      <c r="O17" s="21">
        <v>100</v>
      </c>
      <c r="P17" s="21">
        <v>70</v>
      </c>
      <c r="Q17" s="21">
        <v>60</v>
      </c>
      <c r="R17" s="21">
        <v>30</v>
      </c>
      <c r="S17" s="21">
        <v>20</v>
      </c>
      <c r="T17" s="21">
        <v>10</v>
      </c>
      <c r="U17" s="22">
        <v>0</v>
      </c>
    </row>
    <row r="18" spans="1:21" x14ac:dyDescent="0.2">
      <c r="A18" s="18" t="s">
        <v>0</v>
      </c>
      <c r="B18" s="20" t="s">
        <v>14</v>
      </c>
      <c r="C18" s="26">
        <v>17940</v>
      </c>
      <c r="D18" s="21"/>
      <c r="E18" s="28">
        <v>2973.668863358022</v>
      </c>
      <c r="F18" s="28">
        <v>2553.7178515192163</v>
      </c>
      <c r="G18" s="28">
        <v>2572.6132851227621</v>
      </c>
      <c r="H18" s="21">
        <v>1640</v>
      </c>
      <c r="I18" s="21">
        <v>1450</v>
      </c>
      <c r="J18" s="21">
        <v>1120</v>
      </c>
      <c r="K18" s="21">
        <v>1020</v>
      </c>
      <c r="L18" s="21">
        <v>940</v>
      </c>
      <c r="M18" s="21">
        <v>920</v>
      </c>
      <c r="N18" s="21">
        <v>840</v>
      </c>
      <c r="O18" s="21">
        <v>650</v>
      </c>
      <c r="P18" s="21">
        <v>490</v>
      </c>
      <c r="Q18" s="21">
        <v>350</v>
      </c>
      <c r="R18" s="21">
        <v>190</v>
      </c>
      <c r="S18" s="21">
        <v>170</v>
      </c>
      <c r="T18" s="21">
        <v>40</v>
      </c>
      <c r="U18" s="22">
        <v>20</v>
      </c>
    </row>
    <row r="19" spans="1:21" x14ac:dyDescent="0.2">
      <c r="A19" s="18" t="s">
        <v>0</v>
      </c>
      <c r="B19" s="20" t="s">
        <v>15</v>
      </c>
      <c r="C19" s="26">
        <v>12470</v>
      </c>
      <c r="D19" s="21"/>
      <c r="E19" s="28">
        <v>1850.2828483116582</v>
      </c>
      <c r="F19" s="28">
        <v>1588.9799965008458</v>
      </c>
      <c r="G19" s="28">
        <v>1600.7371551874965</v>
      </c>
      <c r="H19" s="21">
        <v>960</v>
      </c>
      <c r="I19" s="21">
        <v>890</v>
      </c>
      <c r="J19" s="21">
        <v>740</v>
      </c>
      <c r="K19" s="21">
        <v>720</v>
      </c>
      <c r="L19" s="21">
        <v>820</v>
      </c>
      <c r="M19" s="21">
        <v>720</v>
      </c>
      <c r="N19" s="21">
        <v>690</v>
      </c>
      <c r="O19" s="21">
        <v>660</v>
      </c>
      <c r="P19" s="21">
        <v>550</v>
      </c>
      <c r="Q19" s="21">
        <v>340</v>
      </c>
      <c r="R19" s="21">
        <v>190</v>
      </c>
      <c r="S19" s="21">
        <v>80</v>
      </c>
      <c r="T19" s="21">
        <v>50</v>
      </c>
      <c r="U19" s="22">
        <v>20</v>
      </c>
    </row>
    <row r="20" spans="1:21" x14ac:dyDescent="0.2">
      <c r="A20" s="18" t="s">
        <v>0</v>
      </c>
      <c r="B20" s="20" t="s">
        <v>16</v>
      </c>
      <c r="C20" s="26">
        <v>12040</v>
      </c>
      <c r="D20" s="21"/>
      <c r="E20" s="28">
        <v>1989.7883011605529</v>
      </c>
      <c r="F20" s="28">
        <v>1708.7840438560681</v>
      </c>
      <c r="G20" s="28">
        <v>1721.4276549833792</v>
      </c>
      <c r="H20" s="21">
        <v>950</v>
      </c>
      <c r="I20" s="21">
        <v>910</v>
      </c>
      <c r="J20" s="21">
        <v>750</v>
      </c>
      <c r="K20" s="21">
        <v>700</v>
      </c>
      <c r="L20" s="21">
        <v>720</v>
      </c>
      <c r="M20" s="21">
        <v>640</v>
      </c>
      <c r="N20" s="21">
        <v>610</v>
      </c>
      <c r="O20" s="21">
        <v>470</v>
      </c>
      <c r="P20" s="21">
        <v>370</v>
      </c>
      <c r="Q20" s="21">
        <v>230</v>
      </c>
      <c r="R20" s="21">
        <v>140</v>
      </c>
      <c r="S20" s="21">
        <v>90</v>
      </c>
      <c r="T20" s="21">
        <v>30</v>
      </c>
      <c r="U20" s="22">
        <v>10</v>
      </c>
    </row>
    <row r="21" spans="1:21" x14ac:dyDescent="0.2">
      <c r="A21" s="18" t="s">
        <v>0</v>
      </c>
      <c r="B21" s="20" t="s">
        <v>17</v>
      </c>
      <c r="C21" s="26">
        <v>48860</v>
      </c>
      <c r="D21" s="21"/>
      <c r="E21" s="28">
        <v>8124.3570303843244</v>
      </c>
      <c r="F21" s="28">
        <v>6977.0093893975627</v>
      </c>
      <c r="G21" s="28">
        <v>7028.6335802181147</v>
      </c>
      <c r="H21" s="21">
        <v>4320</v>
      </c>
      <c r="I21" s="21">
        <v>3790</v>
      </c>
      <c r="J21" s="21">
        <v>2970</v>
      </c>
      <c r="K21" s="21">
        <v>2760</v>
      </c>
      <c r="L21" s="21">
        <v>2730</v>
      </c>
      <c r="M21" s="21">
        <v>2700</v>
      </c>
      <c r="N21" s="21">
        <v>2380</v>
      </c>
      <c r="O21" s="21">
        <v>1910</v>
      </c>
      <c r="P21" s="21">
        <v>1380</v>
      </c>
      <c r="Q21" s="21">
        <v>890</v>
      </c>
      <c r="R21" s="21">
        <v>500</v>
      </c>
      <c r="S21" s="21">
        <v>260</v>
      </c>
      <c r="T21" s="21">
        <v>120</v>
      </c>
      <c r="U21" s="22">
        <v>20</v>
      </c>
    </row>
    <row r="22" spans="1:21" x14ac:dyDescent="0.2">
      <c r="A22" s="18" t="s">
        <v>0</v>
      </c>
      <c r="B22" s="20" t="s">
        <v>18</v>
      </c>
      <c r="C22" s="26">
        <v>4090</v>
      </c>
      <c r="D22" s="21"/>
      <c r="E22" s="28">
        <v>679.17128360646177</v>
      </c>
      <c r="F22" s="28">
        <v>583.2565463346358</v>
      </c>
      <c r="G22" s="28">
        <v>587.57217005890243</v>
      </c>
      <c r="H22" s="21">
        <v>340</v>
      </c>
      <c r="I22" s="21">
        <v>280</v>
      </c>
      <c r="J22" s="21">
        <v>230</v>
      </c>
      <c r="K22" s="21">
        <v>240</v>
      </c>
      <c r="L22" s="21">
        <v>220</v>
      </c>
      <c r="M22" s="21">
        <v>240</v>
      </c>
      <c r="N22" s="21">
        <v>200</v>
      </c>
      <c r="O22" s="21">
        <v>170</v>
      </c>
      <c r="P22" s="21">
        <v>130</v>
      </c>
      <c r="Q22" s="21">
        <v>90</v>
      </c>
      <c r="R22" s="21">
        <v>50</v>
      </c>
      <c r="S22" s="21">
        <v>30</v>
      </c>
      <c r="T22" s="21">
        <v>20</v>
      </c>
      <c r="U22" s="22">
        <v>0</v>
      </c>
    </row>
    <row r="23" spans="1:21" x14ac:dyDescent="0.2">
      <c r="A23" s="18" t="s">
        <v>0</v>
      </c>
      <c r="B23" s="20" t="s">
        <v>19</v>
      </c>
      <c r="C23" s="26">
        <v>29770</v>
      </c>
      <c r="D23" s="21"/>
      <c r="E23" s="28">
        <v>4886.3620458389223</v>
      </c>
      <c r="F23" s="28">
        <v>4196.2943955210822</v>
      </c>
      <c r="G23" s="28">
        <v>4227.3435586399955</v>
      </c>
      <c r="H23" s="21">
        <v>2870</v>
      </c>
      <c r="I23" s="21">
        <v>2380</v>
      </c>
      <c r="J23" s="21">
        <v>1770</v>
      </c>
      <c r="K23" s="21">
        <v>1710</v>
      </c>
      <c r="L23" s="21">
        <v>1760</v>
      </c>
      <c r="M23" s="21">
        <v>1820</v>
      </c>
      <c r="N23" s="21">
        <v>1480</v>
      </c>
      <c r="O23" s="21">
        <v>1070</v>
      </c>
      <c r="P23" s="21">
        <v>700</v>
      </c>
      <c r="Q23" s="21">
        <v>430</v>
      </c>
      <c r="R23" s="21">
        <v>250</v>
      </c>
      <c r="S23" s="21">
        <v>150</v>
      </c>
      <c r="T23" s="21">
        <v>50</v>
      </c>
      <c r="U23" s="22">
        <v>20</v>
      </c>
    </row>
    <row r="24" spans="1:21" x14ac:dyDescent="0.2">
      <c r="A24" s="18" t="s">
        <v>0</v>
      </c>
      <c r="B24" s="20" t="s">
        <v>20</v>
      </c>
      <c r="C24" s="26">
        <v>1850</v>
      </c>
      <c r="D24" s="21"/>
      <c r="E24" s="28">
        <v>279.01090569778972</v>
      </c>
      <c r="F24" s="28">
        <v>239.60809471044499</v>
      </c>
      <c r="G24" s="28">
        <v>241.38099959176535</v>
      </c>
      <c r="H24" s="21">
        <v>150</v>
      </c>
      <c r="I24" s="21">
        <v>130</v>
      </c>
      <c r="J24" s="21">
        <v>100</v>
      </c>
      <c r="K24" s="21">
        <v>100</v>
      </c>
      <c r="L24" s="21">
        <v>90</v>
      </c>
      <c r="M24" s="21">
        <v>100</v>
      </c>
      <c r="N24" s="21">
        <v>150</v>
      </c>
      <c r="O24" s="21">
        <v>110</v>
      </c>
      <c r="P24" s="21">
        <v>60</v>
      </c>
      <c r="Q24" s="21">
        <v>50</v>
      </c>
      <c r="R24" s="21">
        <v>30</v>
      </c>
      <c r="S24" s="21">
        <v>10</v>
      </c>
      <c r="T24" s="21">
        <v>10</v>
      </c>
      <c r="U24" s="22">
        <v>0</v>
      </c>
    </row>
    <row r="25" spans="1:21" x14ac:dyDescent="0.2">
      <c r="A25" s="18" t="s">
        <v>0</v>
      </c>
      <c r="B25" s="20" t="s">
        <v>21</v>
      </c>
      <c r="C25" s="26">
        <v>8680</v>
      </c>
      <c r="D25" s="21"/>
      <c r="E25" s="28">
        <v>1336.3153904473086</v>
      </c>
      <c r="F25" s="28">
        <v>1147.5966641394996</v>
      </c>
      <c r="G25" s="28">
        <v>1156.0879454131918</v>
      </c>
      <c r="H25" s="21">
        <v>720</v>
      </c>
      <c r="I25" s="21">
        <v>680</v>
      </c>
      <c r="J25" s="21">
        <v>510</v>
      </c>
      <c r="K25" s="21">
        <v>510</v>
      </c>
      <c r="L25" s="21">
        <v>470</v>
      </c>
      <c r="M25" s="21">
        <v>560</v>
      </c>
      <c r="N25" s="21">
        <v>500</v>
      </c>
      <c r="O25" s="21">
        <v>380</v>
      </c>
      <c r="P25" s="21">
        <v>290</v>
      </c>
      <c r="Q25" s="21">
        <v>220</v>
      </c>
      <c r="R25" s="21">
        <v>120</v>
      </c>
      <c r="S25" s="21">
        <v>50</v>
      </c>
      <c r="T25" s="21">
        <v>30</v>
      </c>
      <c r="U25" s="22">
        <v>0</v>
      </c>
    </row>
    <row r="26" spans="1:21" x14ac:dyDescent="0.2">
      <c r="A26" s="18" t="s">
        <v>0</v>
      </c>
      <c r="B26" s="29" t="s">
        <v>22</v>
      </c>
      <c r="C26" s="30">
        <v>391820</v>
      </c>
      <c r="D26" s="31"/>
      <c r="E26" s="32">
        <v>63078.491864466094</v>
      </c>
      <c r="F26" s="32">
        <v>54170.345833090338</v>
      </c>
      <c r="G26" s="32">
        <v>54571.162302443583</v>
      </c>
      <c r="H26" s="31">
        <v>34650</v>
      </c>
      <c r="I26" s="31">
        <v>30490</v>
      </c>
      <c r="J26" s="31">
        <v>23580</v>
      </c>
      <c r="K26" s="31">
        <v>22240</v>
      </c>
      <c r="L26" s="31">
        <v>22890</v>
      </c>
      <c r="M26" s="31">
        <v>22390</v>
      </c>
      <c r="N26" s="31">
        <v>20250</v>
      </c>
      <c r="O26" s="31">
        <v>16330</v>
      </c>
      <c r="P26" s="31">
        <v>11470</v>
      </c>
      <c r="Q26" s="31">
        <v>7780</v>
      </c>
      <c r="R26" s="31">
        <v>4340</v>
      </c>
      <c r="S26" s="31">
        <v>2330</v>
      </c>
      <c r="T26" s="31">
        <v>970</v>
      </c>
      <c r="U26" s="33">
        <v>290</v>
      </c>
    </row>
    <row r="27" spans="1:21" x14ac:dyDescent="0.2">
      <c r="A27" s="18" t="s">
        <v>23</v>
      </c>
      <c r="B27" s="20" t="s">
        <v>1</v>
      </c>
      <c r="C27" s="26">
        <v>19210</v>
      </c>
      <c r="D27" s="21"/>
      <c r="E27" s="21">
        <v>2584.5966646077823</v>
      </c>
      <c r="F27" s="21">
        <v>2221.3489808523777</v>
      </c>
      <c r="G27" s="21">
        <v>2254.0543545398396</v>
      </c>
      <c r="H27" s="21">
        <v>2110</v>
      </c>
      <c r="I27" s="21">
        <v>1720</v>
      </c>
      <c r="J27" s="21">
        <v>1250</v>
      </c>
      <c r="K27" s="21">
        <v>1150</v>
      </c>
      <c r="L27" s="21">
        <v>1170</v>
      </c>
      <c r="M27" s="21">
        <v>1170</v>
      </c>
      <c r="N27" s="21">
        <v>1110</v>
      </c>
      <c r="O27" s="21">
        <v>900</v>
      </c>
      <c r="P27" s="21">
        <v>640</v>
      </c>
      <c r="Q27" s="21">
        <v>420</v>
      </c>
      <c r="R27" s="21">
        <v>230</v>
      </c>
      <c r="S27" s="21">
        <v>150</v>
      </c>
      <c r="T27" s="22">
        <v>90</v>
      </c>
      <c r="U27" s="22">
        <v>40</v>
      </c>
    </row>
    <row r="28" spans="1:21" x14ac:dyDescent="0.2">
      <c r="A28" s="18" t="s">
        <v>23</v>
      </c>
      <c r="B28" s="20" t="s">
        <v>2</v>
      </c>
      <c r="C28" s="26">
        <v>32020</v>
      </c>
      <c r="D28" s="21"/>
      <c r="E28" s="21">
        <v>4700.5978999382332</v>
      </c>
      <c r="F28" s="21">
        <v>4039.9604694255709</v>
      </c>
      <c r="G28" s="21">
        <v>4099.4416306361954</v>
      </c>
      <c r="H28" s="21">
        <v>2380</v>
      </c>
      <c r="I28" s="21">
        <v>2360</v>
      </c>
      <c r="J28" s="21">
        <v>2090</v>
      </c>
      <c r="K28" s="21">
        <v>1930</v>
      </c>
      <c r="L28" s="21">
        <v>1980</v>
      </c>
      <c r="M28" s="21">
        <v>1860</v>
      </c>
      <c r="N28" s="21">
        <v>1890</v>
      </c>
      <c r="O28" s="21">
        <v>1600</v>
      </c>
      <c r="P28" s="21">
        <v>1250</v>
      </c>
      <c r="Q28" s="21">
        <v>840</v>
      </c>
      <c r="R28" s="21">
        <v>480</v>
      </c>
      <c r="S28" s="21">
        <v>300</v>
      </c>
      <c r="T28" s="21">
        <v>150</v>
      </c>
      <c r="U28" s="22">
        <v>70</v>
      </c>
    </row>
    <row r="29" spans="1:21" x14ac:dyDescent="0.2">
      <c r="A29" s="18" t="s">
        <v>23</v>
      </c>
      <c r="B29" s="20" t="s">
        <v>3</v>
      </c>
      <c r="C29" s="26">
        <v>25940</v>
      </c>
      <c r="D29" s="21"/>
      <c r="E29" s="21">
        <v>4052.6182828906731</v>
      </c>
      <c r="F29" s="21">
        <v>3483.0500308832611</v>
      </c>
      <c r="G29" s="21">
        <v>3534.3316862260654</v>
      </c>
      <c r="H29" s="21">
        <v>2460</v>
      </c>
      <c r="I29" s="21">
        <v>2200</v>
      </c>
      <c r="J29" s="21">
        <v>1640</v>
      </c>
      <c r="K29" s="21">
        <v>1590</v>
      </c>
      <c r="L29" s="21">
        <v>1570</v>
      </c>
      <c r="M29" s="21">
        <v>1560</v>
      </c>
      <c r="N29" s="21">
        <v>1260</v>
      </c>
      <c r="O29" s="21">
        <v>980</v>
      </c>
      <c r="P29" s="21">
        <v>640</v>
      </c>
      <c r="Q29" s="21">
        <v>450</v>
      </c>
      <c r="R29" s="21">
        <v>250</v>
      </c>
      <c r="S29" s="21">
        <v>160</v>
      </c>
      <c r="T29" s="21">
        <v>70</v>
      </c>
      <c r="U29" s="22">
        <v>40</v>
      </c>
    </row>
    <row r="30" spans="1:21" x14ac:dyDescent="0.2">
      <c r="A30" s="18" t="s">
        <v>23</v>
      </c>
      <c r="B30" s="20" t="s">
        <v>4</v>
      </c>
      <c r="C30" s="26">
        <v>18290</v>
      </c>
      <c r="D30" s="21"/>
      <c r="E30" s="21">
        <v>2701.7455219271155</v>
      </c>
      <c r="F30" s="21">
        <v>2322.0333539221738</v>
      </c>
      <c r="G30" s="21">
        <v>2356.2211241507102</v>
      </c>
      <c r="H30" s="21">
        <v>1960</v>
      </c>
      <c r="I30" s="21">
        <v>1550</v>
      </c>
      <c r="J30" s="21">
        <v>1140</v>
      </c>
      <c r="K30" s="21">
        <v>1140</v>
      </c>
      <c r="L30" s="21">
        <v>1170</v>
      </c>
      <c r="M30" s="21">
        <v>1080</v>
      </c>
      <c r="N30" s="21">
        <v>960</v>
      </c>
      <c r="O30" s="21">
        <v>750</v>
      </c>
      <c r="P30" s="21">
        <v>480</v>
      </c>
      <c r="Q30" s="21">
        <v>310</v>
      </c>
      <c r="R30" s="21">
        <v>190</v>
      </c>
      <c r="S30" s="21">
        <v>110</v>
      </c>
      <c r="T30" s="21">
        <v>50</v>
      </c>
      <c r="U30" s="22">
        <v>20</v>
      </c>
    </row>
    <row r="31" spans="1:21" x14ac:dyDescent="0.2">
      <c r="A31" s="18" t="s">
        <v>23</v>
      </c>
      <c r="B31" s="20" t="s">
        <v>5</v>
      </c>
      <c r="C31" s="26">
        <v>45770</v>
      </c>
      <c r="D31" s="21"/>
      <c r="E31" s="21">
        <v>7021.6096355775162</v>
      </c>
      <c r="F31" s="21">
        <v>6034.7696108709079</v>
      </c>
      <c r="G31" s="21">
        <v>6123.620753551575</v>
      </c>
      <c r="H31" s="21">
        <v>4370</v>
      </c>
      <c r="I31" s="21">
        <v>3880</v>
      </c>
      <c r="J31" s="21">
        <v>2910</v>
      </c>
      <c r="K31" s="21">
        <v>2720</v>
      </c>
      <c r="L31" s="21">
        <v>2740</v>
      </c>
      <c r="M31" s="21">
        <v>2770</v>
      </c>
      <c r="N31" s="21">
        <v>2420</v>
      </c>
      <c r="O31" s="21">
        <v>1760</v>
      </c>
      <c r="P31" s="21">
        <v>1290</v>
      </c>
      <c r="Q31" s="21">
        <v>800</v>
      </c>
      <c r="R31" s="21">
        <v>470</v>
      </c>
      <c r="S31" s="21">
        <v>300</v>
      </c>
      <c r="T31" s="21">
        <v>110</v>
      </c>
      <c r="U31" s="22">
        <v>50</v>
      </c>
    </row>
    <row r="32" spans="1:21" x14ac:dyDescent="0.2">
      <c r="A32" s="18" t="s">
        <v>23</v>
      </c>
      <c r="B32" s="20" t="s">
        <v>6</v>
      </c>
      <c r="C32" s="26">
        <v>23760</v>
      </c>
      <c r="D32" s="21"/>
      <c r="E32" s="21">
        <v>3558.3965410747373</v>
      </c>
      <c r="F32" s="21">
        <v>3058.2878319950582</v>
      </c>
      <c r="G32" s="21">
        <v>3103.3156269302035</v>
      </c>
      <c r="H32" s="21">
        <v>1870</v>
      </c>
      <c r="I32" s="21">
        <v>1840</v>
      </c>
      <c r="J32" s="21">
        <v>1400</v>
      </c>
      <c r="K32" s="21">
        <v>1440</v>
      </c>
      <c r="L32" s="21">
        <v>1520</v>
      </c>
      <c r="M32" s="21">
        <v>1400</v>
      </c>
      <c r="N32" s="21">
        <v>1350</v>
      </c>
      <c r="O32" s="21">
        <v>1160</v>
      </c>
      <c r="P32" s="21">
        <v>840</v>
      </c>
      <c r="Q32" s="21">
        <v>580</v>
      </c>
      <c r="R32" s="21">
        <v>330</v>
      </c>
      <c r="S32" s="21">
        <v>180</v>
      </c>
      <c r="T32" s="21">
        <v>100</v>
      </c>
      <c r="U32" s="22">
        <v>30</v>
      </c>
    </row>
    <row r="33" spans="1:21" x14ac:dyDescent="0.2">
      <c r="A33" s="18" t="s">
        <v>23</v>
      </c>
      <c r="B33" s="20" t="s">
        <v>7</v>
      </c>
      <c r="C33" s="26">
        <v>12980</v>
      </c>
      <c r="D33" s="21"/>
      <c r="E33" s="21">
        <v>1925.6343421865347</v>
      </c>
      <c r="F33" s="21">
        <v>1654.9993823347745</v>
      </c>
      <c r="G33" s="21">
        <v>1679.3662754786906</v>
      </c>
      <c r="H33" s="21">
        <v>1090</v>
      </c>
      <c r="I33" s="21">
        <v>1120</v>
      </c>
      <c r="J33" s="21">
        <v>920</v>
      </c>
      <c r="K33" s="21">
        <v>860</v>
      </c>
      <c r="L33" s="21">
        <v>810</v>
      </c>
      <c r="M33" s="21">
        <v>780</v>
      </c>
      <c r="N33" s="21">
        <v>690</v>
      </c>
      <c r="O33" s="21">
        <v>610</v>
      </c>
      <c r="P33" s="21">
        <v>380</v>
      </c>
      <c r="Q33" s="21">
        <v>230</v>
      </c>
      <c r="R33" s="21">
        <v>120</v>
      </c>
      <c r="S33" s="21">
        <v>60</v>
      </c>
      <c r="T33" s="21">
        <v>30</v>
      </c>
      <c r="U33" s="22">
        <v>20</v>
      </c>
    </row>
    <row r="34" spans="1:21" x14ac:dyDescent="0.2">
      <c r="A34" s="18" t="s">
        <v>23</v>
      </c>
      <c r="B34" s="20" t="s">
        <v>8</v>
      </c>
      <c r="C34" s="26">
        <v>20860</v>
      </c>
      <c r="D34" s="21"/>
      <c r="E34" s="21">
        <v>2936.0432365657812</v>
      </c>
      <c r="F34" s="21">
        <v>2523.4021000617663</v>
      </c>
      <c r="G34" s="21">
        <v>2560.5546633724521</v>
      </c>
      <c r="H34" s="21">
        <v>1550</v>
      </c>
      <c r="I34" s="21">
        <v>1660</v>
      </c>
      <c r="J34" s="21">
        <v>1430</v>
      </c>
      <c r="K34" s="21">
        <v>1360</v>
      </c>
      <c r="L34" s="21">
        <v>1330</v>
      </c>
      <c r="M34" s="21">
        <v>1350</v>
      </c>
      <c r="N34" s="21">
        <v>1240</v>
      </c>
      <c r="O34" s="21">
        <v>1090</v>
      </c>
      <c r="P34" s="21">
        <v>730</v>
      </c>
      <c r="Q34" s="21">
        <v>500</v>
      </c>
      <c r="R34" s="21">
        <v>300</v>
      </c>
      <c r="S34" s="21">
        <v>190</v>
      </c>
      <c r="T34" s="21">
        <v>80</v>
      </c>
      <c r="U34" s="22">
        <v>30</v>
      </c>
    </row>
    <row r="35" spans="1:21" x14ac:dyDescent="0.2">
      <c r="A35" s="18" t="s">
        <v>23</v>
      </c>
      <c r="B35" s="20" t="s">
        <v>9</v>
      </c>
      <c r="C35" s="26">
        <v>18500</v>
      </c>
      <c r="D35" s="21"/>
      <c r="E35" s="21">
        <v>2877.4688079061148</v>
      </c>
      <c r="F35" s="21">
        <v>2473.0599135268681</v>
      </c>
      <c r="G35" s="21">
        <v>2509.4712785670167</v>
      </c>
      <c r="H35" s="21">
        <v>1510</v>
      </c>
      <c r="I35" s="21">
        <v>1500</v>
      </c>
      <c r="J35" s="21">
        <v>1200</v>
      </c>
      <c r="K35" s="21">
        <v>1100</v>
      </c>
      <c r="L35" s="21">
        <v>1120</v>
      </c>
      <c r="M35" s="21">
        <v>1050</v>
      </c>
      <c r="N35" s="21">
        <v>1000</v>
      </c>
      <c r="O35" s="21">
        <v>700</v>
      </c>
      <c r="P35" s="21">
        <v>580</v>
      </c>
      <c r="Q35" s="21">
        <v>420</v>
      </c>
      <c r="R35" s="21">
        <v>230</v>
      </c>
      <c r="S35" s="21">
        <v>140</v>
      </c>
      <c r="T35" s="21">
        <v>60</v>
      </c>
      <c r="U35" s="22">
        <v>30</v>
      </c>
    </row>
    <row r="36" spans="1:21" x14ac:dyDescent="0.2">
      <c r="A36" s="18" t="s">
        <v>23</v>
      </c>
      <c r="B36" s="20" t="s">
        <v>10</v>
      </c>
      <c r="C36" s="26">
        <v>8300</v>
      </c>
      <c r="D36" s="21"/>
      <c r="E36" s="21">
        <v>1248.3675108091413</v>
      </c>
      <c r="F36" s="21">
        <v>1072.9178505250154</v>
      </c>
      <c r="G36" s="21">
        <v>1088.714638665843</v>
      </c>
      <c r="H36" s="21">
        <v>590</v>
      </c>
      <c r="I36" s="21">
        <v>600</v>
      </c>
      <c r="J36" s="21">
        <v>550</v>
      </c>
      <c r="K36" s="21">
        <v>470</v>
      </c>
      <c r="L36" s="21">
        <v>520</v>
      </c>
      <c r="M36" s="21">
        <v>540</v>
      </c>
      <c r="N36" s="21">
        <v>480</v>
      </c>
      <c r="O36" s="21">
        <v>420</v>
      </c>
      <c r="P36" s="21">
        <v>260</v>
      </c>
      <c r="Q36" s="21">
        <v>210</v>
      </c>
      <c r="R36" s="21">
        <v>130</v>
      </c>
      <c r="S36" s="21">
        <v>70</v>
      </c>
      <c r="T36" s="21">
        <v>30</v>
      </c>
      <c r="U36" s="22">
        <v>20</v>
      </c>
    </row>
    <row r="37" spans="1:21" x14ac:dyDescent="0.2">
      <c r="A37" s="18" t="s">
        <v>23</v>
      </c>
      <c r="B37" s="20" t="s">
        <v>11</v>
      </c>
      <c r="C37" s="26">
        <v>33450</v>
      </c>
      <c r="D37" s="21"/>
      <c r="E37" s="21">
        <v>4689.6151945645461</v>
      </c>
      <c r="F37" s="21">
        <v>4030.5213094502778</v>
      </c>
      <c r="G37" s="21">
        <v>4089.8634959851761</v>
      </c>
      <c r="H37" s="21">
        <v>2390</v>
      </c>
      <c r="I37" s="21">
        <v>2500</v>
      </c>
      <c r="J37" s="21">
        <v>2050</v>
      </c>
      <c r="K37" s="21">
        <v>1860</v>
      </c>
      <c r="L37" s="21">
        <v>2060</v>
      </c>
      <c r="M37" s="21">
        <v>2100</v>
      </c>
      <c r="N37" s="21">
        <v>2130</v>
      </c>
      <c r="O37" s="21">
        <v>1930</v>
      </c>
      <c r="P37" s="21">
        <v>1420</v>
      </c>
      <c r="Q37" s="21">
        <v>970</v>
      </c>
      <c r="R37" s="21">
        <v>620</v>
      </c>
      <c r="S37" s="21">
        <v>370</v>
      </c>
      <c r="T37" s="21">
        <v>170</v>
      </c>
      <c r="U37" s="22">
        <v>70</v>
      </c>
    </row>
    <row r="38" spans="1:21" x14ac:dyDescent="0.2">
      <c r="A38" s="18" t="s">
        <v>23</v>
      </c>
      <c r="B38" s="20" t="s">
        <v>12</v>
      </c>
      <c r="C38" s="26">
        <v>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</row>
    <row r="39" spans="1:21" x14ac:dyDescent="0.2">
      <c r="A39" s="18" t="s">
        <v>23</v>
      </c>
      <c r="B39" s="20" t="s">
        <v>13</v>
      </c>
      <c r="C39" s="26">
        <v>2620</v>
      </c>
      <c r="D39" s="21"/>
      <c r="E39" s="34">
        <v>424.66460778258181</v>
      </c>
      <c r="F39" s="34">
        <v>364.98085237801109</v>
      </c>
      <c r="G39" s="34">
        <v>370.35453983940704</v>
      </c>
      <c r="H39" s="21">
        <v>180</v>
      </c>
      <c r="I39" s="21">
        <v>190</v>
      </c>
      <c r="J39" s="21">
        <v>140</v>
      </c>
      <c r="K39" s="21">
        <v>160</v>
      </c>
      <c r="L39" s="21">
        <v>160</v>
      </c>
      <c r="M39" s="21">
        <v>150</v>
      </c>
      <c r="N39" s="21">
        <v>150</v>
      </c>
      <c r="O39" s="21">
        <v>110</v>
      </c>
      <c r="P39" s="21">
        <v>100</v>
      </c>
      <c r="Q39" s="21">
        <v>50</v>
      </c>
      <c r="R39" s="21">
        <v>30</v>
      </c>
      <c r="S39" s="21">
        <v>20</v>
      </c>
      <c r="T39" s="21">
        <v>10</v>
      </c>
      <c r="U39" s="22">
        <v>10</v>
      </c>
    </row>
    <row r="40" spans="1:21" x14ac:dyDescent="0.2">
      <c r="A40" s="18" t="s">
        <v>23</v>
      </c>
      <c r="B40" s="20" t="s">
        <v>14</v>
      </c>
      <c r="C40" s="26">
        <v>17390</v>
      </c>
      <c r="D40" s="21"/>
      <c r="E40" s="34">
        <v>2800.5898702903023</v>
      </c>
      <c r="F40" s="34">
        <v>2406.9857936998146</v>
      </c>
      <c r="G40" s="34">
        <v>2442.4243360098826</v>
      </c>
      <c r="H40" s="21">
        <v>1460</v>
      </c>
      <c r="I40" s="21">
        <v>1320</v>
      </c>
      <c r="J40" s="21">
        <v>1100</v>
      </c>
      <c r="K40" s="21">
        <v>1050</v>
      </c>
      <c r="L40" s="21">
        <v>980</v>
      </c>
      <c r="M40" s="21">
        <v>1010</v>
      </c>
      <c r="N40" s="21">
        <v>900</v>
      </c>
      <c r="O40" s="21">
        <v>700</v>
      </c>
      <c r="P40" s="21">
        <v>450</v>
      </c>
      <c r="Q40" s="21">
        <v>350</v>
      </c>
      <c r="R40" s="21">
        <v>200</v>
      </c>
      <c r="S40" s="21">
        <v>120</v>
      </c>
      <c r="T40" s="21">
        <v>70</v>
      </c>
      <c r="U40" s="22">
        <v>30</v>
      </c>
    </row>
    <row r="41" spans="1:21" x14ac:dyDescent="0.2">
      <c r="A41" s="18" t="s">
        <v>23</v>
      </c>
      <c r="B41" s="20" t="s">
        <v>15</v>
      </c>
      <c r="C41" s="26">
        <v>13140</v>
      </c>
      <c r="D41" s="21"/>
      <c r="E41" s="34">
        <v>1720.6238418777023</v>
      </c>
      <c r="F41" s="34">
        <v>1478.8017294626311</v>
      </c>
      <c r="G41" s="34">
        <v>1500.5744286596664</v>
      </c>
      <c r="H41" s="21">
        <v>990</v>
      </c>
      <c r="I41" s="21">
        <v>1040</v>
      </c>
      <c r="J41" s="21">
        <v>880</v>
      </c>
      <c r="K41" s="21">
        <v>780</v>
      </c>
      <c r="L41" s="21">
        <v>840</v>
      </c>
      <c r="M41" s="21">
        <v>860</v>
      </c>
      <c r="N41" s="21">
        <v>810</v>
      </c>
      <c r="O41" s="21">
        <v>750</v>
      </c>
      <c r="P41" s="21">
        <v>570</v>
      </c>
      <c r="Q41" s="21">
        <v>420</v>
      </c>
      <c r="R41" s="21">
        <v>230</v>
      </c>
      <c r="S41" s="21">
        <v>170</v>
      </c>
      <c r="T41" s="21">
        <v>70</v>
      </c>
      <c r="U41" s="22">
        <v>30</v>
      </c>
    </row>
    <row r="42" spans="1:21" x14ac:dyDescent="0.2">
      <c r="A42" s="18" t="s">
        <v>23</v>
      </c>
      <c r="B42" s="20" t="s">
        <v>16</v>
      </c>
      <c r="C42" s="26">
        <v>11880</v>
      </c>
      <c r="D42" s="21"/>
      <c r="E42" s="34">
        <v>1848.7554045707225</v>
      </c>
      <c r="F42" s="34">
        <v>1588.9252625077206</v>
      </c>
      <c r="G42" s="34">
        <v>1612.3193329215565</v>
      </c>
      <c r="H42" s="21">
        <v>860</v>
      </c>
      <c r="I42" s="21">
        <v>970</v>
      </c>
      <c r="J42" s="21">
        <v>780</v>
      </c>
      <c r="K42" s="21">
        <v>700</v>
      </c>
      <c r="L42" s="21">
        <v>720</v>
      </c>
      <c r="M42" s="21">
        <v>700</v>
      </c>
      <c r="N42" s="21">
        <v>590</v>
      </c>
      <c r="O42" s="21">
        <v>560</v>
      </c>
      <c r="P42" s="21">
        <v>350</v>
      </c>
      <c r="Q42" s="21">
        <v>260</v>
      </c>
      <c r="R42" s="21">
        <v>150</v>
      </c>
      <c r="S42" s="21">
        <v>100</v>
      </c>
      <c r="T42" s="21">
        <v>60</v>
      </c>
      <c r="U42" s="22">
        <v>30</v>
      </c>
    </row>
    <row r="43" spans="1:21" x14ac:dyDescent="0.2">
      <c r="A43" s="18" t="s">
        <v>23</v>
      </c>
      <c r="B43" s="20" t="s">
        <v>17</v>
      </c>
      <c r="C43" s="26">
        <v>49800</v>
      </c>
      <c r="D43" s="21"/>
      <c r="E43" s="34">
        <v>7603.6930203829525</v>
      </c>
      <c r="F43" s="34">
        <v>6535.0450895614567</v>
      </c>
      <c r="G43" s="34">
        <v>6631.2618900555899</v>
      </c>
      <c r="H43" s="21">
        <v>4160</v>
      </c>
      <c r="I43" s="21">
        <v>4050</v>
      </c>
      <c r="J43" s="21">
        <v>3160</v>
      </c>
      <c r="K43" s="21">
        <v>2990</v>
      </c>
      <c r="L43" s="21">
        <v>3020</v>
      </c>
      <c r="M43" s="21">
        <v>2840</v>
      </c>
      <c r="N43" s="21">
        <v>2620</v>
      </c>
      <c r="O43" s="21">
        <v>2200</v>
      </c>
      <c r="P43" s="21">
        <v>1650</v>
      </c>
      <c r="Q43" s="21">
        <v>1080</v>
      </c>
      <c r="R43" s="21">
        <v>620</v>
      </c>
      <c r="S43" s="21">
        <v>380</v>
      </c>
      <c r="T43" s="21">
        <v>190</v>
      </c>
      <c r="U43" s="22">
        <v>70</v>
      </c>
    </row>
    <row r="44" spans="1:21" x14ac:dyDescent="0.2">
      <c r="A44" s="18" t="s">
        <v>23</v>
      </c>
      <c r="B44" s="20" t="s">
        <v>18</v>
      </c>
      <c r="C44" s="26">
        <v>4160</v>
      </c>
      <c r="D44" s="21"/>
      <c r="E44" s="34">
        <v>651.64051883878938</v>
      </c>
      <c r="F44" s="34">
        <v>560.05682520074117</v>
      </c>
      <c r="G44" s="34">
        <v>568.30265596046945</v>
      </c>
      <c r="H44" s="21">
        <v>290</v>
      </c>
      <c r="I44" s="21">
        <v>310</v>
      </c>
      <c r="J44" s="21">
        <v>240</v>
      </c>
      <c r="K44" s="21">
        <v>250</v>
      </c>
      <c r="L44" s="21">
        <v>270</v>
      </c>
      <c r="M44" s="21">
        <v>210</v>
      </c>
      <c r="N44" s="21">
        <v>240</v>
      </c>
      <c r="O44" s="21">
        <v>210</v>
      </c>
      <c r="P44" s="21">
        <v>130</v>
      </c>
      <c r="Q44" s="21">
        <v>110</v>
      </c>
      <c r="R44" s="21">
        <v>50</v>
      </c>
      <c r="S44" s="21">
        <v>40</v>
      </c>
      <c r="T44" s="21">
        <v>20</v>
      </c>
      <c r="U44" s="22">
        <v>10</v>
      </c>
    </row>
    <row r="45" spans="1:21" x14ac:dyDescent="0.2">
      <c r="A45" s="18" t="s">
        <v>23</v>
      </c>
      <c r="B45" s="20" t="s">
        <v>19</v>
      </c>
      <c r="C45" s="26">
        <v>29380</v>
      </c>
      <c r="D45" s="21"/>
      <c r="E45" s="34">
        <v>4561.4836318715252</v>
      </c>
      <c r="F45" s="34">
        <v>3920.3977764051879</v>
      </c>
      <c r="G45" s="34">
        <v>3978.118591723286</v>
      </c>
      <c r="H45" s="21">
        <v>2800</v>
      </c>
      <c r="I45" s="21">
        <v>2330</v>
      </c>
      <c r="J45" s="21">
        <v>1860</v>
      </c>
      <c r="K45" s="21">
        <v>1720</v>
      </c>
      <c r="L45" s="21">
        <v>1780</v>
      </c>
      <c r="M45" s="21">
        <v>1740</v>
      </c>
      <c r="N45" s="21">
        <v>1480</v>
      </c>
      <c r="O45" s="21">
        <v>1240</v>
      </c>
      <c r="P45" s="21">
        <v>790</v>
      </c>
      <c r="Q45" s="21">
        <v>530</v>
      </c>
      <c r="R45" s="21">
        <v>280</v>
      </c>
      <c r="S45" s="21">
        <v>220</v>
      </c>
      <c r="T45" s="21">
        <v>90</v>
      </c>
      <c r="U45" s="22">
        <v>60</v>
      </c>
    </row>
    <row r="46" spans="1:21" x14ac:dyDescent="0.2">
      <c r="A46" s="18" t="s">
        <v>23</v>
      </c>
      <c r="B46" s="20" t="s">
        <v>20</v>
      </c>
      <c r="C46" s="26">
        <v>1840</v>
      </c>
      <c r="D46" s="21"/>
      <c r="E46" s="34">
        <v>234.29771463866584</v>
      </c>
      <c r="F46" s="34">
        <v>201.36874613959233</v>
      </c>
      <c r="G46" s="34">
        <v>204.3335392217418</v>
      </c>
      <c r="H46" s="21">
        <v>150</v>
      </c>
      <c r="I46" s="21">
        <v>150</v>
      </c>
      <c r="J46" s="21">
        <v>100</v>
      </c>
      <c r="K46" s="21">
        <v>110</v>
      </c>
      <c r="L46" s="21">
        <v>110</v>
      </c>
      <c r="M46" s="21">
        <v>130</v>
      </c>
      <c r="N46" s="21">
        <v>150</v>
      </c>
      <c r="O46" s="21">
        <v>110</v>
      </c>
      <c r="P46" s="21">
        <v>80</v>
      </c>
      <c r="Q46" s="21">
        <v>50</v>
      </c>
      <c r="R46" s="21">
        <v>30</v>
      </c>
      <c r="S46" s="21">
        <v>20</v>
      </c>
      <c r="T46" s="21">
        <v>10</v>
      </c>
      <c r="U46" s="22">
        <v>0</v>
      </c>
    </row>
    <row r="47" spans="1:21" x14ac:dyDescent="0.2">
      <c r="A47" s="18" t="s">
        <v>23</v>
      </c>
      <c r="B47" s="20" t="s">
        <v>21</v>
      </c>
      <c r="C47" s="26">
        <v>8990</v>
      </c>
      <c r="D47" s="21"/>
      <c r="E47" s="34">
        <v>1270.3329215565163</v>
      </c>
      <c r="F47" s="34">
        <v>1091.7961704756021</v>
      </c>
      <c r="G47" s="34">
        <v>1107.8709079678813</v>
      </c>
      <c r="H47" s="21">
        <v>770</v>
      </c>
      <c r="I47" s="21">
        <v>670</v>
      </c>
      <c r="J47" s="21">
        <v>580</v>
      </c>
      <c r="K47" s="21">
        <v>510</v>
      </c>
      <c r="L47" s="21">
        <v>560</v>
      </c>
      <c r="M47" s="21">
        <v>530</v>
      </c>
      <c r="N47" s="21">
        <v>570</v>
      </c>
      <c r="O47" s="21">
        <v>440</v>
      </c>
      <c r="P47" s="21">
        <v>350</v>
      </c>
      <c r="Q47" s="21">
        <v>260</v>
      </c>
      <c r="R47" s="21">
        <v>130</v>
      </c>
      <c r="S47" s="21">
        <v>100</v>
      </c>
      <c r="T47" s="21">
        <v>30</v>
      </c>
      <c r="U47" s="22">
        <v>20</v>
      </c>
    </row>
    <row r="48" spans="1:21" x14ac:dyDescent="0.2">
      <c r="A48" s="18" t="s">
        <v>23</v>
      </c>
      <c r="B48" s="35" t="s">
        <v>22</v>
      </c>
      <c r="C48" s="30">
        <v>398280</v>
      </c>
      <c r="D48" s="31"/>
      <c r="E48" s="32">
        <v>59412.77516985793</v>
      </c>
      <c r="F48" s="32">
        <v>51062.709079678811</v>
      </c>
      <c r="G48" s="32">
        <v>51814.515750463244</v>
      </c>
      <c r="H48" s="31">
        <v>33940</v>
      </c>
      <c r="I48" s="31">
        <v>31960</v>
      </c>
      <c r="J48" s="31">
        <v>25420</v>
      </c>
      <c r="K48" s="31">
        <v>23890</v>
      </c>
      <c r="L48" s="31">
        <v>24430</v>
      </c>
      <c r="M48" s="31">
        <v>23830</v>
      </c>
      <c r="N48" s="31">
        <v>22040</v>
      </c>
      <c r="O48" s="31">
        <v>18220</v>
      </c>
      <c r="P48" s="31">
        <v>12980</v>
      </c>
      <c r="Q48" s="31">
        <v>8840</v>
      </c>
      <c r="R48" s="31">
        <v>5070</v>
      </c>
      <c r="S48" s="31">
        <v>3200</v>
      </c>
      <c r="T48" s="31">
        <v>1490</v>
      </c>
      <c r="U48" s="33">
        <v>680</v>
      </c>
    </row>
    <row r="49" spans="1:21" x14ac:dyDescent="0.2">
      <c r="A49" s="18" t="s">
        <v>22</v>
      </c>
      <c r="B49" s="20" t="s">
        <v>1</v>
      </c>
      <c r="C49" s="26">
        <v>38290</v>
      </c>
      <c r="D49" s="21"/>
      <c r="E49" s="27">
        <v>5275.383669306455</v>
      </c>
      <c r="F49" s="27">
        <v>4532.4874010079193</v>
      </c>
      <c r="G49" s="27">
        <v>4582.1289296856257</v>
      </c>
      <c r="H49" s="21">
        <v>4330</v>
      </c>
      <c r="I49" s="21">
        <v>3440</v>
      </c>
      <c r="J49" s="21">
        <v>2420</v>
      </c>
      <c r="K49" s="21">
        <v>2290</v>
      </c>
      <c r="L49" s="21">
        <v>2400</v>
      </c>
      <c r="M49" s="21">
        <v>2210</v>
      </c>
      <c r="N49" s="21">
        <v>2170</v>
      </c>
      <c r="O49" s="21">
        <v>1770</v>
      </c>
      <c r="P49" s="21">
        <v>1170</v>
      </c>
      <c r="Q49" s="21">
        <v>800</v>
      </c>
      <c r="R49" s="21">
        <v>440</v>
      </c>
      <c r="S49" s="21">
        <v>260</v>
      </c>
      <c r="T49" s="22">
        <v>140</v>
      </c>
      <c r="U49" s="22">
        <v>60</v>
      </c>
    </row>
    <row r="50" spans="1:21" x14ac:dyDescent="0.2">
      <c r="A50" s="18" t="s">
        <v>22</v>
      </c>
      <c r="B50" s="20" t="s">
        <v>2</v>
      </c>
      <c r="C50" s="26">
        <v>63240</v>
      </c>
      <c r="D50" s="21"/>
      <c r="E50" s="27">
        <v>9696.5877729781623</v>
      </c>
      <c r="F50" s="27">
        <v>8331.0835133189339</v>
      </c>
      <c r="G50" s="27">
        <v>8422.3287137029038</v>
      </c>
      <c r="H50" s="21">
        <v>4730</v>
      </c>
      <c r="I50" s="21">
        <v>4590</v>
      </c>
      <c r="J50" s="21">
        <v>4060</v>
      </c>
      <c r="K50" s="21">
        <v>3740</v>
      </c>
      <c r="L50" s="21">
        <v>3820</v>
      </c>
      <c r="M50" s="21">
        <v>3630</v>
      </c>
      <c r="N50" s="21">
        <v>3530</v>
      </c>
      <c r="O50" s="21">
        <v>3010</v>
      </c>
      <c r="P50" s="21">
        <v>2300</v>
      </c>
      <c r="Q50" s="21">
        <v>1620</v>
      </c>
      <c r="R50" s="21">
        <v>890</v>
      </c>
      <c r="S50" s="21">
        <v>520</v>
      </c>
      <c r="T50" s="21">
        <v>250</v>
      </c>
      <c r="U50" s="22">
        <v>100</v>
      </c>
    </row>
    <row r="51" spans="1:21" x14ac:dyDescent="0.2">
      <c r="A51" s="18" t="s">
        <v>22</v>
      </c>
      <c r="B51" s="20" t="s">
        <v>3</v>
      </c>
      <c r="C51" s="26">
        <v>53560</v>
      </c>
      <c r="D51" s="21"/>
      <c r="E51" s="27">
        <v>8442.8134749220062</v>
      </c>
      <c r="F51" s="27">
        <v>7253.8696904247654</v>
      </c>
      <c r="G51" s="27">
        <v>7333.3168346532284</v>
      </c>
      <c r="H51" s="21">
        <v>5130</v>
      </c>
      <c r="I51" s="21">
        <v>4540</v>
      </c>
      <c r="J51" s="21">
        <v>3370</v>
      </c>
      <c r="K51" s="21">
        <v>3200</v>
      </c>
      <c r="L51" s="21">
        <v>3140</v>
      </c>
      <c r="M51" s="21">
        <v>3230</v>
      </c>
      <c r="N51" s="21">
        <v>2540</v>
      </c>
      <c r="O51" s="21">
        <v>2040</v>
      </c>
      <c r="P51" s="21">
        <v>1370</v>
      </c>
      <c r="Q51" s="21">
        <v>950</v>
      </c>
      <c r="R51" s="21">
        <v>540</v>
      </c>
      <c r="S51" s="21">
        <v>290</v>
      </c>
      <c r="T51" s="21">
        <v>130</v>
      </c>
      <c r="U51" s="22">
        <v>60</v>
      </c>
    </row>
    <row r="52" spans="1:21" x14ac:dyDescent="0.2">
      <c r="A52" s="18" t="s">
        <v>22</v>
      </c>
      <c r="B52" s="20" t="s">
        <v>4</v>
      </c>
      <c r="C52" s="26">
        <v>35840</v>
      </c>
      <c r="D52" s="21"/>
      <c r="E52" s="27">
        <v>5425.689944804416</v>
      </c>
      <c r="F52" s="27">
        <v>4661.6270698344133</v>
      </c>
      <c r="G52" s="27">
        <v>4712.6829853611716</v>
      </c>
      <c r="H52" s="21">
        <v>3920</v>
      </c>
      <c r="I52" s="21">
        <v>3110</v>
      </c>
      <c r="J52" s="21">
        <v>2160</v>
      </c>
      <c r="K52" s="21">
        <v>2160</v>
      </c>
      <c r="L52" s="21">
        <v>2230</v>
      </c>
      <c r="M52" s="21">
        <v>2100</v>
      </c>
      <c r="N52" s="21">
        <v>1860</v>
      </c>
      <c r="O52" s="21">
        <v>1350</v>
      </c>
      <c r="P52" s="21">
        <v>930</v>
      </c>
      <c r="Q52" s="21">
        <v>580</v>
      </c>
      <c r="R52" s="21">
        <v>340</v>
      </c>
      <c r="S52" s="21">
        <v>190</v>
      </c>
      <c r="T52" s="21">
        <v>80</v>
      </c>
      <c r="U52" s="22">
        <v>30</v>
      </c>
    </row>
    <row r="53" spans="1:21" x14ac:dyDescent="0.2">
      <c r="A53" s="18" t="s">
        <v>22</v>
      </c>
      <c r="B53" s="20" t="s">
        <v>5</v>
      </c>
      <c r="C53" s="26">
        <v>89250</v>
      </c>
      <c r="D53" s="21"/>
      <c r="E53" s="27">
        <v>14521.052615790737</v>
      </c>
      <c r="F53" s="27">
        <v>12476.151907847372</v>
      </c>
      <c r="G53" s="27">
        <v>12612.795476361893</v>
      </c>
      <c r="H53" s="21">
        <v>8240</v>
      </c>
      <c r="I53" s="21">
        <v>7240</v>
      </c>
      <c r="J53" s="21">
        <v>5410</v>
      </c>
      <c r="K53" s="21">
        <v>5040</v>
      </c>
      <c r="L53" s="21">
        <v>5160</v>
      </c>
      <c r="M53" s="21">
        <v>5220</v>
      </c>
      <c r="N53" s="21">
        <v>4550</v>
      </c>
      <c r="O53" s="21">
        <v>3380</v>
      </c>
      <c r="P53" s="21">
        <v>2330</v>
      </c>
      <c r="Q53" s="21">
        <v>1470</v>
      </c>
      <c r="R53" s="21">
        <v>840</v>
      </c>
      <c r="S53" s="21">
        <v>510</v>
      </c>
      <c r="T53" s="21">
        <v>170</v>
      </c>
      <c r="U53" s="22">
        <v>80</v>
      </c>
    </row>
    <row r="54" spans="1:21" x14ac:dyDescent="0.2">
      <c r="A54" s="18" t="s">
        <v>22</v>
      </c>
      <c r="B54" s="20" t="s">
        <v>6</v>
      </c>
      <c r="C54" s="26">
        <v>45860</v>
      </c>
      <c r="D54" s="21"/>
      <c r="E54" s="27">
        <v>7123.0510559155264</v>
      </c>
      <c r="F54" s="27">
        <v>6119.9604031677463</v>
      </c>
      <c r="G54" s="27">
        <v>6186.9885409167273</v>
      </c>
      <c r="H54" s="21">
        <v>3730</v>
      </c>
      <c r="I54" s="21">
        <v>3410</v>
      </c>
      <c r="J54" s="21">
        <v>2710</v>
      </c>
      <c r="K54" s="21">
        <v>2680</v>
      </c>
      <c r="L54" s="21">
        <v>2820</v>
      </c>
      <c r="M54" s="21">
        <v>2630</v>
      </c>
      <c r="N54" s="21">
        <v>2540</v>
      </c>
      <c r="O54" s="21">
        <v>2160</v>
      </c>
      <c r="P54" s="21">
        <v>1590</v>
      </c>
      <c r="Q54" s="21">
        <v>1080</v>
      </c>
      <c r="R54" s="21">
        <v>570</v>
      </c>
      <c r="S54" s="21">
        <v>320</v>
      </c>
      <c r="T54" s="21">
        <v>150</v>
      </c>
      <c r="U54" s="22">
        <v>40</v>
      </c>
    </row>
    <row r="55" spans="1:21" x14ac:dyDescent="0.2">
      <c r="A55" s="18" t="s">
        <v>22</v>
      </c>
      <c r="B55" s="20" t="s">
        <v>7</v>
      </c>
      <c r="C55" s="26">
        <v>26250</v>
      </c>
      <c r="D55" s="21"/>
      <c r="E55" s="27">
        <v>3984.9493040556754</v>
      </c>
      <c r="F55" s="27">
        <v>3423.7760979121667</v>
      </c>
      <c r="G55" s="27">
        <v>3461.2745980321579</v>
      </c>
      <c r="H55" s="21">
        <v>2270</v>
      </c>
      <c r="I55" s="21">
        <v>2310</v>
      </c>
      <c r="J55" s="21">
        <v>1740</v>
      </c>
      <c r="K55" s="21">
        <v>1740</v>
      </c>
      <c r="L55" s="21">
        <v>1640</v>
      </c>
      <c r="M55" s="21">
        <v>1520</v>
      </c>
      <c r="N55" s="21">
        <v>1350</v>
      </c>
      <c r="O55" s="21">
        <v>1190</v>
      </c>
      <c r="P55" s="21">
        <v>720</v>
      </c>
      <c r="Q55" s="21">
        <v>460</v>
      </c>
      <c r="R55" s="21">
        <v>250</v>
      </c>
      <c r="S55" s="21">
        <v>100</v>
      </c>
      <c r="T55" s="21">
        <v>60</v>
      </c>
      <c r="U55" s="22">
        <v>30</v>
      </c>
    </row>
    <row r="56" spans="1:21" x14ac:dyDescent="0.2">
      <c r="A56" s="18" t="s">
        <v>22</v>
      </c>
      <c r="B56" s="20" t="s">
        <v>8</v>
      </c>
      <c r="C56" s="26">
        <v>40740</v>
      </c>
      <c r="D56" s="21"/>
      <c r="E56" s="27">
        <v>6078.2391408687308</v>
      </c>
      <c r="F56" s="27">
        <v>5222.2822174226058</v>
      </c>
      <c r="G56" s="27">
        <v>5279.4786417086634</v>
      </c>
      <c r="H56" s="21">
        <v>3120</v>
      </c>
      <c r="I56" s="21">
        <v>3150</v>
      </c>
      <c r="J56" s="21">
        <v>2640</v>
      </c>
      <c r="K56" s="21">
        <v>2520</v>
      </c>
      <c r="L56" s="21">
        <v>2590</v>
      </c>
      <c r="M56" s="21">
        <v>2540</v>
      </c>
      <c r="N56" s="21">
        <v>2330</v>
      </c>
      <c r="O56" s="21">
        <v>2000</v>
      </c>
      <c r="P56" s="21">
        <v>1320</v>
      </c>
      <c r="Q56" s="21">
        <v>930</v>
      </c>
      <c r="R56" s="21">
        <v>540</v>
      </c>
      <c r="S56" s="21">
        <v>300</v>
      </c>
      <c r="T56" s="21">
        <v>140</v>
      </c>
      <c r="U56" s="22">
        <v>40</v>
      </c>
    </row>
    <row r="57" spans="1:21" x14ac:dyDescent="0.2">
      <c r="A57" s="18" t="s">
        <v>22</v>
      </c>
      <c r="B57" s="20" t="s">
        <v>9</v>
      </c>
      <c r="C57" s="26">
        <v>36760</v>
      </c>
      <c r="D57" s="21"/>
      <c r="E57" s="27">
        <v>5946.2628989680825</v>
      </c>
      <c r="F57" s="27">
        <v>5108.8912886969038</v>
      </c>
      <c r="G57" s="27">
        <v>5164.8458123350138</v>
      </c>
      <c r="H57" s="21">
        <v>3180</v>
      </c>
      <c r="I57" s="21">
        <v>2900</v>
      </c>
      <c r="J57" s="21">
        <v>2260</v>
      </c>
      <c r="K57" s="21">
        <v>2100</v>
      </c>
      <c r="L57" s="21">
        <v>2110</v>
      </c>
      <c r="M57" s="21">
        <v>2010</v>
      </c>
      <c r="N57" s="21">
        <v>1870</v>
      </c>
      <c r="O57" s="21">
        <v>1430</v>
      </c>
      <c r="P57" s="21">
        <v>1070</v>
      </c>
      <c r="Q57" s="21">
        <v>780</v>
      </c>
      <c r="R57" s="21">
        <v>430</v>
      </c>
      <c r="S57" s="21">
        <v>250</v>
      </c>
      <c r="T57" s="21">
        <v>100</v>
      </c>
      <c r="U57" s="22">
        <v>50</v>
      </c>
    </row>
    <row r="58" spans="1:21" x14ac:dyDescent="0.2">
      <c r="A58" s="18" t="s">
        <v>22</v>
      </c>
      <c r="B58" s="20" t="s">
        <v>10</v>
      </c>
      <c r="C58" s="26">
        <v>16790</v>
      </c>
      <c r="D58" s="21"/>
      <c r="E58" s="27">
        <v>2602.8647708183344</v>
      </c>
      <c r="F58" s="27">
        <v>2236.321094312455</v>
      </c>
      <c r="G58" s="27">
        <v>2260.8141348692106</v>
      </c>
      <c r="H58" s="21">
        <v>1270</v>
      </c>
      <c r="I58" s="21">
        <v>1180</v>
      </c>
      <c r="J58" s="21">
        <v>1030</v>
      </c>
      <c r="K58" s="21">
        <v>950</v>
      </c>
      <c r="L58" s="21">
        <v>1060</v>
      </c>
      <c r="M58" s="21">
        <v>1060</v>
      </c>
      <c r="N58" s="21">
        <v>970</v>
      </c>
      <c r="O58" s="21">
        <v>800</v>
      </c>
      <c r="P58" s="21">
        <v>520</v>
      </c>
      <c r="Q58" s="21">
        <v>380</v>
      </c>
      <c r="R58" s="21">
        <v>250</v>
      </c>
      <c r="S58" s="21">
        <v>130</v>
      </c>
      <c r="T58" s="21">
        <v>60</v>
      </c>
      <c r="U58" s="22">
        <v>30</v>
      </c>
    </row>
    <row r="59" spans="1:21" x14ac:dyDescent="0.2">
      <c r="A59" s="18" t="s">
        <v>22</v>
      </c>
      <c r="B59" s="20" t="s">
        <v>11</v>
      </c>
      <c r="C59" s="26">
        <v>65980</v>
      </c>
      <c r="D59" s="21"/>
      <c r="E59" s="27">
        <v>9707.5857931365481</v>
      </c>
      <c r="F59" s="27">
        <v>8340.5327573794093</v>
      </c>
      <c r="G59" s="27">
        <v>8431.8814494840426</v>
      </c>
      <c r="H59" s="21">
        <v>4860</v>
      </c>
      <c r="I59" s="21">
        <v>4840</v>
      </c>
      <c r="J59" s="21">
        <v>4010</v>
      </c>
      <c r="K59" s="21">
        <v>3540</v>
      </c>
      <c r="L59" s="21">
        <v>4000</v>
      </c>
      <c r="M59" s="21">
        <v>4060</v>
      </c>
      <c r="N59" s="21">
        <v>4090</v>
      </c>
      <c r="O59" s="21">
        <v>3580</v>
      </c>
      <c r="P59" s="21">
        <v>2620</v>
      </c>
      <c r="Q59" s="21">
        <v>1800</v>
      </c>
      <c r="R59" s="21">
        <v>1100</v>
      </c>
      <c r="S59" s="21">
        <v>630</v>
      </c>
      <c r="T59" s="21">
        <v>270</v>
      </c>
      <c r="U59" s="22">
        <v>100</v>
      </c>
    </row>
    <row r="60" spans="1:21" x14ac:dyDescent="0.2">
      <c r="A60" s="18" t="s">
        <v>22</v>
      </c>
      <c r="B60" s="20" t="s">
        <v>12</v>
      </c>
      <c r="C60" s="26">
        <v>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2"/>
    </row>
    <row r="61" spans="1:21" x14ac:dyDescent="0.2">
      <c r="A61" s="18" t="s">
        <v>22</v>
      </c>
      <c r="B61" s="20" t="s">
        <v>13</v>
      </c>
      <c r="C61" s="26">
        <v>5260</v>
      </c>
      <c r="D61" s="21"/>
      <c r="E61" s="27">
        <v>872.50959923206142</v>
      </c>
      <c r="F61" s="27">
        <v>749.64002879769612</v>
      </c>
      <c r="G61" s="27">
        <v>757.85037197024246</v>
      </c>
      <c r="H61" s="21">
        <v>380</v>
      </c>
      <c r="I61" s="21">
        <v>390</v>
      </c>
      <c r="J61" s="21">
        <v>300</v>
      </c>
      <c r="K61" s="21">
        <v>300</v>
      </c>
      <c r="L61" s="21">
        <v>320</v>
      </c>
      <c r="M61" s="21">
        <v>290</v>
      </c>
      <c r="N61" s="21">
        <v>280</v>
      </c>
      <c r="O61" s="21">
        <v>210</v>
      </c>
      <c r="P61" s="21">
        <v>170</v>
      </c>
      <c r="Q61" s="21">
        <v>110</v>
      </c>
      <c r="R61" s="21">
        <v>60</v>
      </c>
      <c r="S61" s="21">
        <v>40</v>
      </c>
      <c r="T61" s="21">
        <v>20</v>
      </c>
      <c r="U61" s="22">
        <v>10</v>
      </c>
    </row>
    <row r="62" spans="1:21" x14ac:dyDescent="0.2">
      <c r="A62" s="18" t="s">
        <v>22</v>
      </c>
      <c r="B62" s="20" t="s">
        <v>14</v>
      </c>
      <c r="C62" s="26">
        <v>35330</v>
      </c>
      <c r="D62" s="21"/>
      <c r="E62" s="27">
        <v>5773.9605831533472</v>
      </c>
      <c r="F62" s="27">
        <v>4960.8531317494599</v>
      </c>
      <c r="G62" s="27">
        <v>5015.1862850971929</v>
      </c>
      <c r="H62" s="21">
        <v>3100</v>
      </c>
      <c r="I62" s="21">
        <v>2770</v>
      </c>
      <c r="J62" s="21">
        <v>2220</v>
      </c>
      <c r="K62" s="21">
        <v>2070</v>
      </c>
      <c r="L62" s="21">
        <v>1920</v>
      </c>
      <c r="M62" s="21">
        <v>1930</v>
      </c>
      <c r="N62" s="21">
        <v>1740</v>
      </c>
      <c r="O62" s="21">
        <v>1350</v>
      </c>
      <c r="P62" s="21">
        <v>940</v>
      </c>
      <c r="Q62" s="21">
        <v>700</v>
      </c>
      <c r="R62" s="21">
        <v>390</v>
      </c>
      <c r="S62" s="21">
        <v>290</v>
      </c>
      <c r="T62" s="21">
        <v>110</v>
      </c>
      <c r="U62" s="22">
        <v>50</v>
      </c>
    </row>
    <row r="63" spans="1:21" x14ac:dyDescent="0.2">
      <c r="A63" s="18" t="s">
        <v>22</v>
      </c>
      <c r="B63" s="20" t="s">
        <v>15</v>
      </c>
      <c r="C63" s="26">
        <v>25610</v>
      </c>
      <c r="D63" s="21"/>
      <c r="E63" s="27">
        <v>3570.6905447564195</v>
      </c>
      <c r="F63" s="27">
        <v>3067.8545716342692</v>
      </c>
      <c r="G63" s="27">
        <v>3101.4548836093113</v>
      </c>
      <c r="H63" s="21">
        <v>1950</v>
      </c>
      <c r="I63" s="21">
        <v>1930</v>
      </c>
      <c r="J63" s="21">
        <v>1620</v>
      </c>
      <c r="K63" s="21">
        <v>1500</v>
      </c>
      <c r="L63" s="21">
        <v>1660</v>
      </c>
      <c r="M63" s="21">
        <v>1580</v>
      </c>
      <c r="N63" s="21">
        <v>1500</v>
      </c>
      <c r="O63" s="21">
        <v>1410</v>
      </c>
      <c r="P63" s="21">
        <v>1120</v>
      </c>
      <c r="Q63" s="21">
        <v>760</v>
      </c>
      <c r="R63" s="21">
        <v>420</v>
      </c>
      <c r="S63" s="21">
        <v>250</v>
      </c>
      <c r="T63" s="21">
        <v>120</v>
      </c>
      <c r="U63" s="22">
        <v>50</v>
      </c>
    </row>
    <row r="64" spans="1:21" x14ac:dyDescent="0.2">
      <c r="A64" s="18" t="s">
        <v>22</v>
      </c>
      <c r="B64" s="20" t="s">
        <v>16</v>
      </c>
      <c r="C64" s="26">
        <v>23920</v>
      </c>
      <c r="D64" s="21"/>
      <c r="E64" s="27">
        <v>3838.3090352771778</v>
      </c>
      <c r="F64" s="27">
        <v>3297.7861771058315</v>
      </c>
      <c r="G64" s="27">
        <v>3333.9047876169907</v>
      </c>
      <c r="H64" s="21">
        <v>1810</v>
      </c>
      <c r="I64" s="21">
        <v>1880</v>
      </c>
      <c r="J64" s="21">
        <v>1530</v>
      </c>
      <c r="K64" s="21">
        <v>1400</v>
      </c>
      <c r="L64" s="21">
        <v>1440</v>
      </c>
      <c r="M64" s="21">
        <v>1340</v>
      </c>
      <c r="N64" s="21">
        <v>1200</v>
      </c>
      <c r="O64" s="21">
        <v>1030</v>
      </c>
      <c r="P64" s="21">
        <v>720</v>
      </c>
      <c r="Q64" s="21">
        <v>490</v>
      </c>
      <c r="R64" s="21">
        <v>290</v>
      </c>
      <c r="S64" s="21">
        <v>190</v>
      </c>
      <c r="T64" s="21">
        <v>90</v>
      </c>
      <c r="U64" s="22">
        <v>40</v>
      </c>
    </row>
    <row r="65" spans="1:22" x14ac:dyDescent="0.2">
      <c r="A65" s="18" t="s">
        <v>22</v>
      </c>
      <c r="B65" s="20" t="s">
        <v>17</v>
      </c>
      <c r="C65" s="26">
        <v>98660</v>
      </c>
      <c r="D65" s="21"/>
      <c r="E65" s="27">
        <v>15727.16882649388</v>
      </c>
      <c r="F65" s="27">
        <v>13512.41900647948</v>
      </c>
      <c r="G65" s="27">
        <v>13660.41216702664</v>
      </c>
      <c r="H65" s="21">
        <v>8480</v>
      </c>
      <c r="I65" s="21">
        <v>7840</v>
      </c>
      <c r="J65" s="21">
        <v>6130</v>
      </c>
      <c r="K65" s="21">
        <v>5750</v>
      </c>
      <c r="L65" s="21">
        <v>5750</v>
      </c>
      <c r="M65" s="21">
        <v>5540</v>
      </c>
      <c r="N65" s="21">
        <v>5000</v>
      </c>
      <c r="O65" s="21">
        <v>4110</v>
      </c>
      <c r="P65" s="21">
        <v>3030</v>
      </c>
      <c r="Q65" s="21">
        <v>1970</v>
      </c>
      <c r="R65" s="21">
        <v>1120</v>
      </c>
      <c r="S65" s="21">
        <v>640</v>
      </c>
      <c r="T65" s="21">
        <v>310</v>
      </c>
      <c r="U65" s="22">
        <v>90</v>
      </c>
    </row>
    <row r="66" spans="1:22" x14ac:dyDescent="0.2">
      <c r="A66" s="18" t="s">
        <v>22</v>
      </c>
      <c r="B66" s="20" t="s">
        <v>18</v>
      </c>
      <c r="C66" s="26">
        <v>8250</v>
      </c>
      <c r="D66" s="21"/>
      <c r="E66" s="27">
        <v>1330.7604391648667</v>
      </c>
      <c r="F66" s="27">
        <v>1143.3585313174945</v>
      </c>
      <c r="G66" s="27">
        <v>1155.8810295176386</v>
      </c>
      <c r="H66" s="21">
        <v>630</v>
      </c>
      <c r="I66" s="21">
        <v>590</v>
      </c>
      <c r="J66" s="21">
        <v>470</v>
      </c>
      <c r="K66" s="21">
        <v>490</v>
      </c>
      <c r="L66" s="21">
        <v>490</v>
      </c>
      <c r="M66" s="21">
        <v>450</v>
      </c>
      <c r="N66" s="21">
        <v>440</v>
      </c>
      <c r="O66" s="21">
        <v>380</v>
      </c>
      <c r="P66" s="21">
        <v>260</v>
      </c>
      <c r="Q66" s="21">
        <v>200</v>
      </c>
      <c r="R66" s="21">
        <v>100</v>
      </c>
      <c r="S66" s="21">
        <v>70</v>
      </c>
      <c r="T66" s="21">
        <v>40</v>
      </c>
      <c r="U66" s="22">
        <v>10</v>
      </c>
    </row>
    <row r="67" spans="1:22" x14ac:dyDescent="0.2">
      <c r="A67" s="18" t="s">
        <v>22</v>
      </c>
      <c r="B67" s="20" t="s">
        <v>19</v>
      </c>
      <c r="C67" s="26">
        <v>59150</v>
      </c>
      <c r="D67" s="21"/>
      <c r="E67" s="27">
        <v>9447.2993160547157</v>
      </c>
      <c r="F67" s="27">
        <v>8116.9006479481641</v>
      </c>
      <c r="G67" s="27">
        <v>8205.8000359971211</v>
      </c>
      <c r="H67" s="21">
        <v>5670</v>
      </c>
      <c r="I67" s="21">
        <v>4710</v>
      </c>
      <c r="J67" s="21">
        <v>3630</v>
      </c>
      <c r="K67" s="21">
        <v>3430</v>
      </c>
      <c r="L67" s="21">
        <v>3540</v>
      </c>
      <c r="M67" s="21">
        <v>3560</v>
      </c>
      <c r="N67" s="21">
        <v>2960</v>
      </c>
      <c r="O67" s="21">
        <v>2310</v>
      </c>
      <c r="P67" s="21">
        <v>1490</v>
      </c>
      <c r="Q67" s="21">
        <v>960</v>
      </c>
      <c r="R67" s="21">
        <v>530</v>
      </c>
      <c r="S67" s="21">
        <v>370</v>
      </c>
      <c r="T67" s="21">
        <v>140</v>
      </c>
      <c r="U67" s="22">
        <v>80</v>
      </c>
    </row>
    <row r="68" spans="1:22" x14ac:dyDescent="0.2">
      <c r="A68" s="18" t="s">
        <v>22</v>
      </c>
      <c r="B68" s="20" t="s">
        <v>20</v>
      </c>
      <c r="C68" s="26">
        <v>3690</v>
      </c>
      <c r="D68" s="21"/>
      <c r="E68" s="27">
        <v>513.24094072474202</v>
      </c>
      <c r="F68" s="27">
        <v>440.96472282217422</v>
      </c>
      <c r="G68" s="27">
        <v>445.79433645308376</v>
      </c>
      <c r="H68" s="21">
        <v>300</v>
      </c>
      <c r="I68" s="21">
        <v>280</v>
      </c>
      <c r="J68" s="21">
        <v>200</v>
      </c>
      <c r="K68" s="21">
        <v>210</v>
      </c>
      <c r="L68" s="21">
        <v>200</v>
      </c>
      <c r="M68" s="21">
        <v>230</v>
      </c>
      <c r="N68" s="21">
        <v>300</v>
      </c>
      <c r="O68" s="21">
        <v>220</v>
      </c>
      <c r="P68" s="21">
        <v>140</v>
      </c>
      <c r="Q68" s="21">
        <v>100</v>
      </c>
      <c r="R68" s="21">
        <v>60</v>
      </c>
      <c r="S68" s="21">
        <v>30</v>
      </c>
      <c r="T68" s="21">
        <v>20</v>
      </c>
      <c r="U68" s="22">
        <v>0</v>
      </c>
    </row>
    <row r="69" spans="1:22" x14ac:dyDescent="0.2">
      <c r="A69" s="18" t="s">
        <v>22</v>
      </c>
      <c r="B69" s="20" t="s">
        <v>21</v>
      </c>
      <c r="C69" s="26">
        <v>17670</v>
      </c>
      <c r="D69" s="21"/>
      <c r="E69" s="27">
        <v>2606.5307775377969</v>
      </c>
      <c r="F69" s="27">
        <v>2239.4708423326133</v>
      </c>
      <c r="G69" s="27">
        <v>2263.9983801295898</v>
      </c>
      <c r="H69" s="21">
        <v>1490</v>
      </c>
      <c r="I69" s="21">
        <v>1350</v>
      </c>
      <c r="J69" s="21">
        <v>1090</v>
      </c>
      <c r="K69" s="21">
        <v>1020</v>
      </c>
      <c r="L69" s="21">
        <v>1030</v>
      </c>
      <c r="M69" s="21">
        <v>1090</v>
      </c>
      <c r="N69" s="21">
        <v>1070</v>
      </c>
      <c r="O69" s="21">
        <v>820</v>
      </c>
      <c r="P69" s="21">
        <v>640</v>
      </c>
      <c r="Q69" s="21">
        <v>480</v>
      </c>
      <c r="R69" s="21">
        <v>250</v>
      </c>
      <c r="S69" s="21">
        <v>150</v>
      </c>
      <c r="T69" s="21">
        <v>60</v>
      </c>
      <c r="U69" s="22">
        <v>20</v>
      </c>
    </row>
    <row r="70" spans="1:22" x14ac:dyDescent="0.2">
      <c r="A70" s="18" t="s">
        <v>22</v>
      </c>
      <c r="B70" s="18" t="s">
        <v>22</v>
      </c>
      <c r="C70" s="26">
        <v>790100</v>
      </c>
      <c r="D70" s="21"/>
      <c r="E70" s="36">
        <v>122484.95050395968</v>
      </c>
      <c r="F70" s="36">
        <v>105236.23110151188</v>
      </c>
      <c r="G70" s="36">
        <v>106388.81839452844</v>
      </c>
      <c r="H70" s="21">
        <v>68590</v>
      </c>
      <c r="I70" s="21">
        <v>62450</v>
      </c>
      <c r="J70" s="21">
        <v>49000</v>
      </c>
      <c r="K70" s="21">
        <v>46130</v>
      </c>
      <c r="L70" s="21">
        <v>47320</v>
      </c>
      <c r="M70" s="21">
        <v>46220</v>
      </c>
      <c r="N70" s="21">
        <v>42290</v>
      </c>
      <c r="O70" s="21">
        <v>34550</v>
      </c>
      <c r="P70" s="21">
        <v>24450</v>
      </c>
      <c r="Q70" s="21">
        <v>16620</v>
      </c>
      <c r="R70" s="21">
        <v>9410</v>
      </c>
      <c r="S70" s="21">
        <v>5530</v>
      </c>
      <c r="T70" s="21">
        <v>2460</v>
      </c>
      <c r="U70" s="22">
        <v>970</v>
      </c>
    </row>
    <row r="71" spans="1:22" x14ac:dyDescent="0.2">
      <c r="A71" s="18"/>
      <c r="B71" s="1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2"/>
    </row>
    <row r="72" spans="1:22" x14ac:dyDescent="0.2">
      <c r="A72" s="18"/>
      <c r="B72" s="1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2"/>
    </row>
    <row r="73" spans="1:22" x14ac:dyDescent="0.2">
      <c r="A73" t="s">
        <v>65</v>
      </c>
      <c r="B73" s="1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2"/>
    </row>
    <row r="74" spans="1:22" x14ac:dyDescent="0.2">
      <c r="B74" s="1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2"/>
    </row>
    <row r="75" spans="1:22" x14ac:dyDescent="0.2">
      <c r="A75" s="17" t="s">
        <v>66</v>
      </c>
      <c r="B75" s="17"/>
      <c r="C75" s="17"/>
    </row>
    <row r="76" spans="1:22" x14ac:dyDescent="0.2">
      <c r="A76" s="17" t="str">
        <f>'[1]2021 ERP DHB Population Proj 0+'!A76</f>
        <v>2021 Stats NZ Pop Projections</v>
      </c>
      <c r="B76" s="17"/>
      <c r="C76" s="17"/>
    </row>
    <row r="78" spans="1:22" x14ac:dyDescent="0.2">
      <c r="A78" s="16" t="s">
        <v>68</v>
      </c>
      <c r="B78" s="17"/>
    </row>
    <row r="80" spans="1:22" x14ac:dyDescent="0.2">
      <c r="A80" s="18"/>
      <c r="B80" s="18"/>
      <c r="C80" s="41" t="s">
        <v>44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21" x14ac:dyDescent="0.2">
      <c r="A81" s="18" t="s">
        <v>45</v>
      </c>
      <c r="B81" s="18" t="s">
        <v>42</v>
      </c>
      <c r="C81" s="19" t="s">
        <v>46</v>
      </c>
      <c r="D81" s="18" t="s">
        <v>47</v>
      </c>
      <c r="E81" s="18" t="s">
        <v>48</v>
      </c>
      <c r="F81" s="18" t="s">
        <v>49</v>
      </c>
      <c r="G81" s="18" t="s">
        <v>50</v>
      </c>
      <c r="H81" s="18" t="s">
        <v>51</v>
      </c>
      <c r="I81" s="18" t="s">
        <v>52</v>
      </c>
      <c r="J81" s="18" t="s">
        <v>53</v>
      </c>
      <c r="K81" s="18" t="s">
        <v>54</v>
      </c>
      <c r="L81" s="18" t="s">
        <v>55</v>
      </c>
      <c r="M81" s="18" t="s">
        <v>56</v>
      </c>
      <c r="N81" s="18" t="s">
        <v>57</v>
      </c>
      <c r="O81" s="18" t="s">
        <v>58</v>
      </c>
      <c r="P81" s="18" t="s">
        <v>59</v>
      </c>
      <c r="Q81" s="18" t="s">
        <v>60</v>
      </c>
      <c r="R81" s="18" t="s">
        <v>61</v>
      </c>
      <c r="S81" s="18" t="s">
        <v>62</v>
      </c>
      <c r="T81" s="18" t="s">
        <v>63</v>
      </c>
      <c r="U81" s="18" t="s">
        <v>64</v>
      </c>
    </row>
    <row r="82" spans="1:21" x14ac:dyDescent="0.2">
      <c r="A82" s="18" t="s">
        <v>0</v>
      </c>
      <c r="B82" s="20" t="s">
        <v>1</v>
      </c>
      <c r="C82" s="21">
        <v>236210</v>
      </c>
      <c r="D82" s="21"/>
      <c r="E82" s="21">
        <v>29645.301305858393</v>
      </c>
      <c r="F82" s="21">
        <v>17818.867856714987</v>
      </c>
      <c r="G82" s="21">
        <v>16525.83083742662</v>
      </c>
      <c r="H82" s="21">
        <v>27610</v>
      </c>
      <c r="I82" s="21">
        <v>25940</v>
      </c>
      <c r="J82" s="21">
        <v>19300</v>
      </c>
      <c r="K82" s="21">
        <v>15930</v>
      </c>
      <c r="L82" s="21">
        <v>15200</v>
      </c>
      <c r="M82" s="21">
        <v>14430</v>
      </c>
      <c r="N82" s="21">
        <v>13910</v>
      </c>
      <c r="O82" s="21">
        <v>11900</v>
      </c>
      <c r="P82" s="21">
        <v>9480</v>
      </c>
      <c r="Q82" s="21">
        <v>7560</v>
      </c>
      <c r="R82" s="21">
        <v>4870</v>
      </c>
      <c r="S82" s="21">
        <v>3360</v>
      </c>
      <c r="T82" s="22">
        <v>1750</v>
      </c>
      <c r="U82" s="22">
        <v>980</v>
      </c>
    </row>
    <row r="83" spans="1:21" x14ac:dyDescent="0.2">
      <c r="A83" s="18" t="s">
        <v>0</v>
      </c>
      <c r="B83" s="20" t="s">
        <v>2</v>
      </c>
      <c r="C83" s="21">
        <v>123800</v>
      </c>
      <c r="D83" s="21"/>
      <c r="E83" s="21">
        <v>15566.215406732957</v>
      </c>
      <c r="F83" s="21">
        <v>9356.367557206182</v>
      </c>
      <c r="G83" s="21">
        <v>8677.4170360608605</v>
      </c>
      <c r="H83" s="21">
        <v>8130</v>
      </c>
      <c r="I83" s="21">
        <v>8080</v>
      </c>
      <c r="J83" s="21">
        <v>7920</v>
      </c>
      <c r="K83" s="21">
        <v>7410</v>
      </c>
      <c r="L83" s="21">
        <v>8170</v>
      </c>
      <c r="M83" s="21">
        <v>8480</v>
      </c>
      <c r="N83" s="21">
        <v>8430</v>
      </c>
      <c r="O83" s="21">
        <v>8030</v>
      </c>
      <c r="P83" s="21">
        <v>7480</v>
      </c>
      <c r="Q83" s="21">
        <v>7120</v>
      </c>
      <c r="R83" s="21">
        <v>4950</v>
      </c>
      <c r="S83" s="21">
        <v>3440</v>
      </c>
      <c r="T83" s="21">
        <v>1660</v>
      </c>
      <c r="U83" s="22">
        <v>900</v>
      </c>
    </row>
    <row r="84" spans="1:21" x14ac:dyDescent="0.2">
      <c r="A84" s="18" t="s">
        <v>0</v>
      </c>
      <c r="B84" s="20" t="s">
        <v>3</v>
      </c>
      <c r="C84" s="21">
        <v>277890</v>
      </c>
      <c r="D84" s="21"/>
      <c r="E84" s="21">
        <v>35269.523181981553</v>
      </c>
      <c r="F84" s="21">
        <v>21199.412563396032</v>
      </c>
      <c r="G84" s="21">
        <v>19661.064254622419</v>
      </c>
      <c r="H84" s="21">
        <v>22380</v>
      </c>
      <c r="I84" s="21">
        <v>23060</v>
      </c>
      <c r="J84" s="21">
        <v>20190</v>
      </c>
      <c r="K84" s="21">
        <v>18630</v>
      </c>
      <c r="L84" s="21">
        <v>18990</v>
      </c>
      <c r="M84" s="21">
        <v>19840</v>
      </c>
      <c r="N84" s="21">
        <v>18330</v>
      </c>
      <c r="O84" s="21">
        <v>17010</v>
      </c>
      <c r="P84" s="21">
        <v>14080</v>
      </c>
      <c r="Q84" s="21">
        <v>11880</v>
      </c>
      <c r="R84" s="21">
        <v>7870</v>
      </c>
      <c r="S84" s="21">
        <v>5260</v>
      </c>
      <c r="T84" s="21">
        <v>2790</v>
      </c>
      <c r="U84" s="22">
        <v>1450</v>
      </c>
    </row>
    <row r="85" spans="1:21" x14ac:dyDescent="0.2">
      <c r="A85" s="18" t="s">
        <v>0</v>
      </c>
      <c r="B85" s="20" t="s">
        <v>4</v>
      </c>
      <c r="C85" s="21">
        <v>150820</v>
      </c>
      <c r="D85" s="21"/>
      <c r="E85" s="21">
        <v>19999.807116329219</v>
      </c>
      <c r="F85" s="21">
        <v>12021.261531089014</v>
      </c>
      <c r="G85" s="21">
        <v>11148.931352581765</v>
      </c>
      <c r="H85" s="21">
        <v>13860</v>
      </c>
      <c r="I85" s="21">
        <v>12460</v>
      </c>
      <c r="J85" s="21">
        <v>11060</v>
      </c>
      <c r="K85" s="21">
        <v>10580</v>
      </c>
      <c r="L85" s="21">
        <v>10760</v>
      </c>
      <c r="M85" s="21">
        <v>10400</v>
      </c>
      <c r="N85" s="21">
        <v>9890</v>
      </c>
      <c r="O85" s="21">
        <v>8140</v>
      </c>
      <c r="P85" s="21">
        <v>6710</v>
      </c>
      <c r="Q85" s="21">
        <v>5630</v>
      </c>
      <c r="R85" s="21">
        <v>3840</v>
      </c>
      <c r="S85" s="21">
        <v>2410</v>
      </c>
      <c r="T85" s="21">
        <v>1300</v>
      </c>
      <c r="U85" s="22">
        <v>610</v>
      </c>
    </row>
    <row r="86" spans="1:21" x14ac:dyDescent="0.2">
      <c r="A86" s="18" t="s">
        <v>0</v>
      </c>
      <c r="B86" s="20" t="s">
        <v>5</v>
      </c>
      <c r="C86" s="21">
        <v>278900</v>
      </c>
      <c r="D86" s="21"/>
      <c r="E86" s="21">
        <v>41477.478135857193</v>
      </c>
      <c r="F86" s="21">
        <v>24930.821053472308</v>
      </c>
      <c r="G86" s="21">
        <v>23121.7008106705</v>
      </c>
      <c r="H86" s="21">
        <v>24490</v>
      </c>
      <c r="I86" s="21">
        <v>23370</v>
      </c>
      <c r="J86" s="21">
        <v>20800</v>
      </c>
      <c r="K86" s="21">
        <v>18660</v>
      </c>
      <c r="L86" s="21">
        <v>18280</v>
      </c>
      <c r="M86" s="21">
        <v>18540</v>
      </c>
      <c r="N86" s="21">
        <v>17580</v>
      </c>
      <c r="O86" s="21">
        <v>14530</v>
      </c>
      <c r="P86" s="21">
        <v>11560</v>
      </c>
      <c r="Q86" s="21">
        <v>9150</v>
      </c>
      <c r="R86" s="21">
        <v>6010</v>
      </c>
      <c r="S86" s="21">
        <v>3850</v>
      </c>
      <c r="T86" s="21">
        <v>1690</v>
      </c>
      <c r="U86" s="22">
        <v>860</v>
      </c>
    </row>
    <row r="87" spans="1:21" x14ac:dyDescent="0.2">
      <c r="A87" s="18" t="s">
        <v>0</v>
      </c>
      <c r="B87" s="20" t="s">
        <v>6</v>
      </c>
      <c r="C87" s="21">
        <v>83240</v>
      </c>
      <c r="D87" s="21"/>
      <c r="E87" s="21">
        <v>10794.429136216604</v>
      </c>
      <c r="F87" s="21">
        <v>6488.1953596102394</v>
      </c>
      <c r="G87" s="21">
        <v>6017.3755041731556</v>
      </c>
      <c r="H87" s="21">
        <v>5530</v>
      </c>
      <c r="I87" s="21">
        <v>5450</v>
      </c>
      <c r="J87" s="21">
        <v>4940</v>
      </c>
      <c r="K87" s="21">
        <v>4940</v>
      </c>
      <c r="L87" s="21">
        <v>5650</v>
      </c>
      <c r="M87" s="21">
        <v>5840</v>
      </c>
      <c r="N87" s="21">
        <v>5870</v>
      </c>
      <c r="O87" s="21">
        <v>5610</v>
      </c>
      <c r="P87" s="21">
        <v>4950</v>
      </c>
      <c r="Q87" s="21">
        <v>4560</v>
      </c>
      <c r="R87" s="21">
        <v>3140</v>
      </c>
      <c r="S87" s="21">
        <v>1980</v>
      </c>
      <c r="T87" s="21">
        <v>1000</v>
      </c>
      <c r="U87" s="22">
        <v>480</v>
      </c>
    </row>
    <row r="88" spans="1:21" x14ac:dyDescent="0.2">
      <c r="A88" s="18" t="s">
        <v>0</v>
      </c>
      <c r="B88" s="20" t="s">
        <v>7</v>
      </c>
      <c r="C88" s="21">
        <v>74490</v>
      </c>
      <c r="D88" s="21"/>
      <c r="E88" s="21">
        <v>9446.2836947406249</v>
      </c>
      <c r="F88" s="21">
        <v>5677.8670979593471</v>
      </c>
      <c r="G88" s="21">
        <v>5265.849207300028</v>
      </c>
      <c r="H88" s="21">
        <v>5520</v>
      </c>
      <c r="I88" s="21">
        <v>6200</v>
      </c>
      <c r="J88" s="21">
        <v>5830</v>
      </c>
      <c r="K88" s="21">
        <v>5280</v>
      </c>
      <c r="L88" s="21">
        <v>5310</v>
      </c>
      <c r="M88" s="21">
        <v>5420</v>
      </c>
      <c r="N88" s="21">
        <v>4940</v>
      </c>
      <c r="O88" s="21">
        <v>4680</v>
      </c>
      <c r="P88" s="21">
        <v>3630</v>
      </c>
      <c r="Q88" s="21">
        <v>3050</v>
      </c>
      <c r="R88" s="21">
        <v>1950</v>
      </c>
      <c r="S88" s="21">
        <v>1280</v>
      </c>
      <c r="T88" s="21">
        <v>690</v>
      </c>
      <c r="U88" s="22">
        <v>320</v>
      </c>
    </row>
    <row r="89" spans="1:21" x14ac:dyDescent="0.2">
      <c r="A89" s="18" t="s">
        <v>0</v>
      </c>
      <c r="B89" s="20" t="s">
        <v>8</v>
      </c>
      <c r="C89" s="21">
        <v>54670</v>
      </c>
      <c r="D89" s="21"/>
      <c r="E89" s="21">
        <v>7454.1787468551574</v>
      </c>
      <c r="F89" s="21">
        <v>4480.4748212930799</v>
      </c>
      <c r="G89" s="21">
        <v>4155.3464318517626</v>
      </c>
      <c r="H89" s="21">
        <v>3830</v>
      </c>
      <c r="I89" s="21">
        <v>3880</v>
      </c>
      <c r="J89" s="21">
        <v>3510</v>
      </c>
      <c r="K89" s="21">
        <v>3320</v>
      </c>
      <c r="L89" s="21">
        <v>3720</v>
      </c>
      <c r="M89" s="21">
        <v>3770</v>
      </c>
      <c r="N89" s="21">
        <v>3740</v>
      </c>
      <c r="O89" s="21">
        <v>3520</v>
      </c>
      <c r="P89" s="21">
        <v>2950</v>
      </c>
      <c r="Q89" s="21">
        <v>2720</v>
      </c>
      <c r="R89" s="21">
        <v>1780</v>
      </c>
      <c r="S89" s="21">
        <v>1100</v>
      </c>
      <c r="T89" s="21">
        <v>530</v>
      </c>
      <c r="U89" s="22">
        <v>210</v>
      </c>
    </row>
    <row r="90" spans="1:21" x14ac:dyDescent="0.2">
      <c r="A90" s="18" t="s">
        <v>0</v>
      </c>
      <c r="B90" s="20" t="s">
        <v>9</v>
      </c>
      <c r="C90" s="21">
        <v>87140</v>
      </c>
      <c r="D90" s="21"/>
      <c r="E90" s="21">
        <v>11827.544027794416</v>
      </c>
      <c r="F90" s="21">
        <v>7109.1685635557687</v>
      </c>
      <c r="G90" s="21">
        <v>6593.2874086498141</v>
      </c>
      <c r="H90" s="21">
        <v>6310</v>
      </c>
      <c r="I90" s="21">
        <v>5840</v>
      </c>
      <c r="J90" s="21">
        <v>5360</v>
      </c>
      <c r="K90" s="21">
        <v>5030</v>
      </c>
      <c r="L90" s="21">
        <v>5470</v>
      </c>
      <c r="M90" s="21">
        <v>5710</v>
      </c>
      <c r="N90" s="21">
        <v>5910</v>
      </c>
      <c r="O90" s="21">
        <v>5750</v>
      </c>
      <c r="P90" s="21">
        <v>4920</v>
      </c>
      <c r="Q90" s="21">
        <v>4530</v>
      </c>
      <c r="R90" s="21">
        <v>3150</v>
      </c>
      <c r="S90" s="21">
        <v>2160</v>
      </c>
      <c r="T90" s="21">
        <v>960</v>
      </c>
      <c r="U90" s="22">
        <v>510</v>
      </c>
    </row>
    <row r="91" spans="1:21" x14ac:dyDescent="0.2">
      <c r="A91" s="18" t="s">
        <v>0</v>
      </c>
      <c r="B91" s="20" t="s">
        <v>10</v>
      </c>
      <c r="C91" s="21">
        <v>77340</v>
      </c>
      <c r="D91" s="21"/>
      <c r="E91" s="21">
        <v>8607.7464957469747</v>
      </c>
      <c r="F91" s="21">
        <v>5173.848488478895</v>
      </c>
      <c r="G91" s="21">
        <v>4798.4050157741303</v>
      </c>
      <c r="H91" s="21">
        <v>4600</v>
      </c>
      <c r="I91" s="21">
        <v>4580</v>
      </c>
      <c r="J91" s="21">
        <v>4510</v>
      </c>
      <c r="K91" s="21">
        <v>4480</v>
      </c>
      <c r="L91" s="21">
        <v>5440</v>
      </c>
      <c r="M91" s="21">
        <v>5830</v>
      </c>
      <c r="N91" s="21">
        <v>5920</v>
      </c>
      <c r="O91" s="21">
        <v>5790</v>
      </c>
      <c r="P91" s="21">
        <v>5280</v>
      </c>
      <c r="Q91" s="21">
        <v>5060</v>
      </c>
      <c r="R91" s="21">
        <v>3440</v>
      </c>
      <c r="S91" s="21">
        <v>2180</v>
      </c>
      <c r="T91" s="21">
        <v>1120</v>
      </c>
      <c r="U91" s="22">
        <v>530</v>
      </c>
    </row>
    <row r="92" spans="1:21" x14ac:dyDescent="0.2">
      <c r="A92" s="18" t="s">
        <v>0</v>
      </c>
      <c r="B92" s="20" t="s">
        <v>11</v>
      </c>
      <c r="C92" s="21">
        <v>92240</v>
      </c>
      <c r="D92" s="21"/>
      <c r="E92" s="21">
        <v>11517.146280100635</v>
      </c>
      <c r="F92" s="21">
        <v>6922.5981390519555</v>
      </c>
      <c r="G92" s="21">
        <v>6420.2555808474099</v>
      </c>
      <c r="H92" s="21">
        <v>5330</v>
      </c>
      <c r="I92" s="21">
        <v>5790</v>
      </c>
      <c r="J92" s="21">
        <v>5310</v>
      </c>
      <c r="K92" s="21">
        <v>4960</v>
      </c>
      <c r="L92" s="21">
        <v>5800</v>
      </c>
      <c r="M92" s="21">
        <v>6500</v>
      </c>
      <c r="N92" s="21">
        <v>6800</v>
      </c>
      <c r="O92" s="21">
        <v>6930</v>
      </c>
      <c r="P92" s="21">
        <v>6530</v>
      </c>
      <c r="Q92" s="21">
        <v>5800</v>
      </c>
      <c r="R92" s="21">
        <v>3720</v>
      </c>
      <c r="S92" s="21">
        <v>2390</v>
      </c>
      <c r="T92" s="21">
        <v>1030</v>
      </c>
      <c r="U92" s="22">
        <v>490</v>
      </c>
    </row>
    <row r="93" spans="1:21" x14ac:dyDescent="0.2">
      <c r="A93" s="18" t="s">
        <v>0</v>
      </c>
      <c r="B93" s="20" t="s">
        <v>12</v>
      </c>
      <c r="C93" s="21">
        <v>0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2"/>
    </row>
    <row r="94" spans="1:21" x14ac:dyDescent="0.2">
      <c r="A94" s="18" t="s">
        <v>0</v>
      </c>
      <c r="B94" s="20" t="s">
        <v>13</v>
      </c>
      <c r="C94" s="21">
        <v>29415</v>
      </c>
      <c r="D94" s="21"/>
      <c r="E94" s="21">
        <v>3319.4027794417157</v>
      </c>
      <c r="F94" s="21">
        <v>1995.1896889101874</v>
      </c>
      <c r="G94" s="21">
        <v>1850.4075316480971</v>
      </c>
      <c r="H94" s="21">
        <v>1930</v>
      </c>
      <c r="I94" s="21">
        <v>1980</v>
      </c>
      <c r="J94" s="21">
        <v>1725</v>
      </c>
      <c r="K94" s="21">
        <v>1725</v>
      </c>
      <c r="L94" s="21">
        <v>1870</v>
      </c>
      <c r="M94" s="21">
        <v>2015</v>
      </c>
      <c r="N94" s="21">
        <v>2210</v>
      </c>
      <c r="O94" s="21">
        <v>2200</v>
      </c>
      <c r="P94" s="21">
        <v>2050</v>
      </c>
      <c r="Q94" s="21">
        <v>1875</v>
      </c>
      <c r="R94" s="21">
        <v>1225</v>
      </c>
      <c r="S94" s="21">
        <v>795</v>
      </c>
      <c r="T94" s="21">
        <v>460</v>
      </c>
      <c r="U94" s="22">
        <v>190</v>
      </c>
    </row>
    <row r="95" spans="1:21" x14ac:dyDescent="0.2">
      <c r="A95" s="18" t="s">
        <v>0</v>
      </c>
      <c r="B95" s="20" t="s">
        <v>14</v>
      </c>
      <c r="C95" s="21">
        <v>165620</v>
      </c>
      <c r="D95" s="21"/>
      <c r="E95" s="21">
        <v>21069.984425542112</v>
      </c>
      <c r="F95" s="21">
        <v>12664.51180064694</v>
      </c>
      <c r="G95" s="21">
        <v>11745.503773810949</v>
      </c>
      <c r="H95" s="21">
        <v>13170</v>
      </c>
      <c r="I95" s="21">
        <v>12650</v>
      </c>
      <c r="J95" s="21">
        <v>11270</v>
      </c>
      <c r="K95" s="21">
        <v>10310</v>
      </c>
      <c r="L95" s="21">
        <v>10870</v>
      </c>
      <c r="M95" s="21">
        <v>10880</v>
      </c>
      <c r="N95" s="21">
        <v>11330</v>
      </c>
      <c r="O95" s="21">
        <v>10770</v>
      </c>
      <c r="P95" s="21">
        <v>9390</v>
      </c>
      <c r="Q95" s="21">
        <v>8120</v>
      </c>
      <c r="R95" s="21">
        <v>5160</v>
      </c>
      <c r="S95" s="21">
        <v>3550</v>
      </c>
      <c r="T95" s="21">
        <v>1760</v>
      </c>
      <c r="U95" s="22">
        <v>910</v>
      </c>
    </row>
    <row r="96" spans="1:21" x14ac:dyDescent="0.2">
      <c r="A96" s="18" t="s">
        <v>0</v>
      </c>
      <c r="B96" s="20" t="s">
        <v>15</v>
      </c>
      <c r="C96" s="21">
        <v>23620</v>
      </c>
      <c r="D96" s="21"/>
      <c r="E96" s="21">
        <v>3391.2112136096803</v>
      </c>
      <c r="F96" s="21">
        <v>2038.3515035342041</v>
      </c>
      <c r="G96" s="21">
        <v>1890.4372828561159</v>
      </c>
      <c r="H96" s="21">
        <v>1635</v>
      </c>
      <c r="I96" s="21">
        <v>1580</v>
      </c>
      <c r="J96" s="21">
        <v>1405</v>
      </c>
      <c r="K96" s="21">
        <v>1430</v>
      </c>
      <c r="L96" s="21">
        <v>1615</v>
      </c>
      <c r="M96" s="21">
        <v>1535</v>
      </c>
      <c r="N96" s="21">
        <v>1570</v>
      </c>
      <c r="O96" s="21">
        <v>1570</v>
      </c>
      <c r="P96" s="21">
        <v>1430</v>
      </c>
      <c r="Q96" s="21">
        <v>1115</v>
      </c>
      <c r="R96" s="21">
        <v>680</v>
      </c>
      <c r="S96" s="21">
        <v>410</v>
      </c>
      <c r="T96" s="21">
        <v>235</v>
      </c>
      <c r="U96" s="22">
        <v>90</v>
      </c>
    </row>
    <row r="97" spans="1:21" x14ac:dyDescent="0.2">
      <c r="A97" s="18" t="s">
        <v>0</v>
      </c>
      <c r="B97" s="20" t="s">
        <v>16</v>
      </c>
      <c r="C97" s="21">
        <v>58945</v>
      </c>
      <c r="D97" s="21"/>
      <c r="E97" s="21">
        <v>7671.9204504612435</v>
      </c>
      <c r="F97" s="21">
        <v>4611.3525817659038</v>
      </c>
      <c r="G97" s="21">
        <v>4276.7269677728527</v>
      </c>
      <c r="H97" s="21">
        <v>3750</v>
      </c>
      <c r="I97" s="21">
        <v>3960</v>
      </c>
      <c r="J97" s="21">
        <v>3895</v>
      </c>
      <c r="K97" s="21">
        <v>3755</v>
      </c>
      <c r="L97" s="21">
        <v>3940</v>
      </c>
      <c r="M97" s="21">
        <v>4105</v>
      </c>
      <c r="N97" s="21">
        <v>4130</v>
      </c>
      <c r="O97" s="21">
        <v>3975</v>
      </c>
      <c r="P97" s="21">
        <v>3490</v>
      </c>
      <c r="Q97" s="21">
        <v>3020</v>
      </c>
      <c r="R97" s="21">
        <v>2050</v>
      </c>
      <c r="S97" s="21">
        <v>1290</v>
      </c>
      <c r="T97" s="21">
        <v>685</v>
      </c>
      <c r="U97" s="22">
        <v>340</v>
      </c>
    </row>
    <row r="98" spans="1:21" x14ac:dyDescent="0.2">
      <c r="A98" s="18" t="s">
        <v>0</v>
      </c>
      <c r="B98" s="20" t="s">
        <v>17</v>
      </c>
      <c r="C98" s="21">
        <v>205740</v>
      </c>
      <c r="D98" s="21"/>
      <c r="E98" s="21">
        <v>28176.703007068409</v>
      </c>
      <c r="F98" s="21">
        <v>16936.139131823809</v>
      </c>
      <c r="G98" s="21">
        <v>15707.157861107782</v>
      </c>
      <c r="H98" s="21">
        <v>15530</v>
      </c>
      <c r="I98" s="21">
        <v>14830</v>
      </c>
      <c r="J98" s="21">
        <v>13750</v>
      </c>
      <c r="K98" s="21">
        <v>12850</v>
      </c>
      <c r="L98" s="21">
        <v>13300</v>
      </c>
      <c r="M98" s="21">
        <v>13850</v>
      </c>
      <c r="N98" s="21">
        <v>13320</v>
      </c>
      <c r="O98" s="21">
        <v>12440</v>
      </c>
      <c r="P98" s="21">
        <v>11100</v>
      </c>
      <c r="Q98" s="21">
        <v>9840</v>
      </c>
      <c r="R98" s="21">
        <v>6630</v>
      </c>
      <c r="S98" s="21">
        <v>4320</v>
      </c>
      <c r="T98" s="21">
        <v>2170</v>
      </c>
      <c r="U98" s="22">
        <v>990</v>
      </c>
    </row>
    <row r="99" spans="1:21" x14ac:dyDescent="0.2">
      <c r="A99" s="18" t="s">
        <v>0</v>
      </c>
      <c r="B99" s="20" t="s">
        <v>18</v>
      </c>
      <c r="C99" s="21">
        <v>23030</v>
      </c>
      <c r="D99" s="21"/>
      <c r="E99" s="21">
        <v>2682.3924763388045</v>
      </c>
      <c r="F99" s="21">
        <v>1612.3026236971368</v>
      </c>
      <c r="G99" s="21">
        <v>1495.3048999640589</v>
      </c>
      <c r="H99" s="21">
        <v>1280</v>
      </c>
      <c r="I99" s="21">
        <v>1330</v>
      </c>
      <c r="J99" s="21">
        <v>1285</v>
      </c>
      <c r="K99" s="21">
        <v>1335</v>
      </c>
      <c r="L99" s="21">
        <v>1500</v>
      </c>
      <c r="M99" s="21">
        <v>1635</v>
      </c>
      <c r="N99" s="21">
        <v>1745</v>
      </c>
      <c r="O99" s="21">
        <v>1705</v>
      </c>
      <c r="P99" s="21">
        <v>1690</v>
      </c>
      <c r="Q99" s="21">
        <v>1545</v>
      </c>
      <c r="R99" s="21">
        <v>1085</v>
      </c>
      <c r="S99" s="21">
        <v>630</v>
      </c>
      <c r="T99" s="21">
        <v>345</v>
      </c>
      <c r="U99" s="22">
        <v>130</v>
      </c>
    </row>
    <row r="100" spans="1:21" x14ac:dyDescent="0.2">
      <c r="A100" s="18" t="s">
        <v>0</v>
      </c>
      <c r="B100" s="20" t="s">
        <v>19</v>
      </c>
      <c r="C100" s="21">
        <v>296100</v>
      </c>
      <c r="D100" s="21"/>
      <c r="E100" s="21">
        <v>38846.046483766622</v>
      </c>
      <c r="F100" s="21">
        <v>23349.149394992215</v>
      </c>
      <c r="G100" s="21">
        <v>21654.804121241163</v>
      </c>
      <c r="H100" s="21">
        <v>23520</v>
      </c>
      <c r="I100" s="21">
        <v>24410</v>
      </c>
      <c r="J100" s="21">
        <v>23990</v>
      </c>
      <c r="K100" s="21">
        <v>21130</v>
      </c>
      <c r="L100" s="21">
        <v>20720</v>
      </c>
      <c r="M100" s="21">
        <v>20600</v>
      </c>
      <c r="N100" s="21">
        <v>19260</v>
      </c>
      <c r="O100" s="21">
        <v>16430</v>
      </c>
      <c r="P100" s="21">
        <v>13430</v>
      </c>
      <c r="Q100" s="21">
        <v>11340</v>
      </c>
      <c r="R100" s="21">
        <v>8030</v>
      </c>
      <c r="S100" s="21">
        <v>5210</v>
      </c>
      <c r="T100" s="21">
        <v>2750</v>
      </c>
      <c r="U100" s="22">
        <v>1430</v>
      </c>
    </row>
    <row r="101" spans="1:21" x14ac:dyDescent="0.2">
      <c r="A101" s="18" t="s">
        <v>0</v>
      </c>
      <c r="B101" s="20" t="s">
        <v>20</v>
      </c>
      <c r="C101" s="21">
        <v>15750</v>
      </c>
      <c r="D101" s="21"/>
      <c r="E101" s="21">
        <v>1690.9728046004552</v>
      </c>
      <c r="F101" s="21">
        <v>1016.3911185655526</v>
      </c>
      <c r="G101" s="21">
        <v>942.63607683399221</v>
      </c>
      <c r="H101" s="21">
        <v>840</v>
      </c>
      <c r="I101" s="21">
        <v>970</v>
      </c>
      <c r="J101" s="21">
        <v>895</v>
      </c>
      <c r="K101" s="21">
        <v>825</v>
      </c>
      <c r="L101" s="21">
        <v>970</v>
      </c>
      <c r="M101" s="21">
        <v>1175</v>
      </c>
      <c r="N101" s="21">
        <v>1380</v>
      </c>
      <c r="O101" s="21">
        <v>1445</v>
      </c>
      <c r="P101" s="21">
        <v>1230</v>
      </c>
      <c r="Q101" s="21">
        <v>1060</v>
      </c>
      <c r="R101" s="21">
        <v>650</v>
      </c>
      <c r="S101" s="21">
        <v>400</v>
      </c>
      <c r="T101" s="21">
        <v>190</v>
      </c>
      <c r="U101" s="22">
        <v>70</v>
      </c>
    </row>
    <row r="102" spans="1:21" x14ac:dyDescent="0.2">
      <c r="A102" s="18" t="s">
        <v>0</v>
      </c>
      <c r="B102" s="20" t="s">
        <v>21</v>
      </c>
      <c r="C102" s="21">
        <v>31890</v>
      </c>
      <c r="D102" s="21"/>
      <c r="E102" s="21">
        <v>4002.7411045884746</v>
      </c>
      <c r="F102" s="21">
        <v>2405.9230861387327</v>
      </c>
      <c r="G102" s="21">
        <v>2231.3358092727926</v>
      </c>
      <c r="H102" s="21">
        <v>1980</v>
      </c>
      <c r="I102" s="21">
        <v>2140</v>
      </c>
      <c r="J102" s="21">
        <v>1880</v>
      </c>
      <c r="K102" s="21">
        <v>1740</v>
      </c>
      <c r="L102" s="21">
        <v>1990</v>
      </c>
      <c r="M102" s="21">
        <v>2190</v>
      </c>
      <c r="N102" s="21">
        <v>2320</v>
      </c>
      <c r="O102" s="21">
        <v>2310</v>
      </c>
      <c r="P102" s="21">
        <v>2140</v>
      </c>
      <c r="Q102" s="21">
        <v>1890</v>
      </c>
      <c r="R102" s="21">
        <v>1270</v>
      </c>
      <c r="S102" s="21">
        <v>800</v>
      </c>
      <c r="T102" s="21">
        <v>390</v>
      </c>
      <c r="U102" s="22">
        <v>210</v>
      </c>
    </row>
    <row r="103" spans="1:21" x14ac:dyDescent="0.2">
      <c r="A103" s="18" t="s">
        <v>0</v>
      </c>
      <c r="B103" s="29" t="s">
        <v>22</v>
      </c>
      <c r="C103" s="31">
        <v>2386850</v>
      </c>
      <c r="D103" s="31"/>
      <c r="E103" s="31">
        <v>312457.02827363124</v>
      </c>
      <c r="F103" s="31">
        <v>187808.19396190249</v>
      </c>
      <c r="G103" s="31">
        <v>174179.77776446627</v>
      </c>
      <c r="H103" s="31">
        <v>191225</v>
      </c>
      <c r="I103" s="31">
        <v>188500</v>
      </c>
      <c r="J103" s="31">
        <v>168825</v>
      </c>
      <c r="K103" s="31">
        <v>154320</v>
      </c>
      <c r="L103" s="31">
        <v>159565</v>
      </c>
      <c r="M103" s="31">
        <v>162745</v>
      </c>
      <c r="N103" s="31">
        <v>158585</v>
      </c>
      <c r="O103" s="31">
        <v>144735</v>
      </c>
      <c r="P103" s="31">
        <v>123520</v>
      </c>
      <c r="Q103" s="31">
        <v>106865</v>
      </c>
      <c r="R103" s="31">
        <v>71500</v>
      </c>
      <c r="S103" s="31">
        <v>46815</v>
      </c>
      <c r="T103" s="31">
        <v>23505</v>
      </c>
      <c r="U103" s="33">
        <v>11700</v>
      </c>
    </row>
    <row r="104" spans="1:21" x14ac:dyDescent="0.2">
      <c r="A104" s="18" t="s">
        <v>23</v>
      </c>
      <c r="B104" s="20" t="s">
        <v>1</v>
      </c>
      <c r="C104" s="21">
        <v>239840</v>
      </c>
      <c r="D104" s="21"/>
      <c r="E104" s="27">
        <v>28816.315844944245</v>
      </c>
      <c r="F104" s="27">
        <v>17234.532155730274</v>
      </c>
      <c r="G104" s="27">
        <v>16069.151999325479</v>
      </c>
      <c r="H104" s="21">
        <v>26470</v>
      </c>
      <c r="I104" s="21">
        <v>25010</v>
      </c>
      <c r="J104" s="21">
        <v>19460</v>
      </c>
      <c r="K104" s="21">
        <v>15600</v>
      </c>
      <c r="L104" s="21">
        <v>15580</v>
      </c>
      <c r="M104" s="21">
        <v>15330</v>
      </c>
      <c r="N104" s="21">
        <v>14730</v>
      </c>
      <c r="O104" s="21">
        <v>12350</v>
      </c>
      <c r="P104" s="21">
        <v>10460</v>
      </c>
      <c r="Q104" s="21">
        <v>8160</v>
      </c>
      <c r="R104" s="21">
        <v>5680</v>
      </c>
      <c r="S104" s="21">
        <v>4350</v>
      </c>
      <c r="T104" s="22">
        <v>2510</v>
      </c>
      <c r="U104" s="22">
        <v>2030</v>
      </c>
    </row>
    <row r="105" spans="1:21" x14ac:dyDescent="0.2">
      <c r="A105" s="18" t="s">
        <v>23</v>
      </c>
      <c r="B105" s="20" t="s">
        <v>2</v>
      </c>
      <c r="C105" s="21">
        <v>128880</v>
      </c>
      <c r="D105" s="21"/>
      <c r="E105" s="27">
        <v>14403.519107944605</v>
      </c>
      <c r="F105" s="27">
        <v>8614.4916844080017</v>
      </c>
      <c r="G105" s="27">
        <v>8031.9892076473943</v>
      </c>
      <c r="H105" s="21">
        <v>7360</v>
      </c>
      <c r="I105" s="21">
        <v>8680</v>
      </c>
      <c r="J105" s="21">
        <v>8320</v>
      </c>
      <c r="K105" s="21">
        <v>7960</v>
      </c>
      <c r="L105" s="21">
        <v>8840</v>
      </c>
      <c r="M105" s="21">
        <v>9050</v>
      </c>
      <c r="N105" s="21">
        <v>9210</v>
      </c>
      <c r="O105" s="21">
        <v>9060</v>
      </c>
      <c r="P105" s="21">
        <v>8360</v>
      </c>
      <c r="Q105" s="21">
        <v>7610</v>
      </c>
      <c r="R105" s="21">
        <v>5590</v>
      </c>
      <c r="S105" s="21">
        <v>4010</v>
      </c>
      <c r="T105" s="21">
        <v>2270</v>
      </c>
      <c r="U105" s="22">
        <v>1510</v>
      </c>
    </row>
    <row r="106" spans="1:21" x14ac:dyDescent="0.2">
      <c r="A106" s="18" t="s">
        <v>23</v>
      </c>
      <c r="B106" s="20" t="s">
        <v>3</v>
      </c>
      <c r="C106" s="21">
        <v>275320</v>
      </c>
      <c r="D106" s="21"/>
      <c r="E106" s="27">
        <v>32327.898442275669</v>
      </c>
      <c r="F106" s="27">
        <v>19334.748002782402</v>
      </c>
      <c r="G106" s="27">
        <v>18027.353554941928</v>
      </c>
      <c r="H106" s="21">
        <v>19370</v>
      </c>
      <c r="I106" s="21">
        <v>21950</v>
      </c>
      <c r="J106" s="21">
        <v>19360</v>
      </c>
      <c r="K106" s="21">
        <v>18680</v>
      </c>
      <c r="L106" s="21">
        <v>19460</v>
      </c>
      <c r="M106" s="21">
        <v>19830</v>
      </c>
      <c r="N106" s="21">
        <v>19030</v>
      </c>
      <c r="O106" s="21">
        <v>17620</v>
      </c>
      <c r="P106" s="21">
        <v>14760</v>
      </c>
      <c r="Q106" s="21">
        <v>12960</v>
      </c>
      <c r="R106" s="21">
        <v>8940</v>
      </c>
      <c r="S106" s="21">
        <v>6740</v>
      </c>
      <c r="T106" s="21">
        <v>4070</v>
      </c>
      <c r="U106" s="22">
        <v>2860</v>
      </c>
    </row>
    <row r="107" spans="1:21" x14ac:dyDescent="0.2">
      <c r="A107" s="18" t="s">
        <v>23</v>
      </c>
      <c r="B107" s="20" t="s">
        <v>4</v>
      </c>
      <c r="C107" s="21">
        <v>159380</v>
      </c>
      <c r="D107" s="21"/>
      <c r="E107" s="27">
        <v>20424.700364663477</v>
      </c>
      <c r="F107" s="27">
        <v>12215.65439177083</v>
      </c>
      <c r="G107" s="27">
        <v>11389.645243565694</v>
      </c>
      <c r="H107" s="21">
        <v>13820</v>
      </c>
      <c r="I107" s="21">
        <v>12870</v>
      </c>
      <c r="J107" s="21">
        <v>11470</v>
      </c>
      <c r="K107" s="21">
        <v>10790</v>
      </c>
      <c r="L107" s="21">
        <v>11350</v>
      </c>
      <c r="M107" s="21">
        <v>11190</v>
      </c>
      <c r="N107" s="21">
        <v>10410</v>
      </c>
      <c r="O107" s="21">
        <v>8830</v>
      </c>
      <c r="P107" s="21">
        <v>7440</v>
      </c>
      <c r="Q107" s="21">
        <v>6150</v>
      </c>
      <c r="R107" s="21">
        <v>4510</v>
      </c>
      <c r="S107" s="21">
        <v>3240</v>
      </c>
      <c r="T107" s="21">
        <v>1990</v>
      </c>
      <c r="U107" s="22">
        <v>1290</v>
      </c>
    </row>
    <row r="108" spans="1:21" x14ac:dyDescent="0.2">
      <c r="A108" s="18" t="s">
        <v>23</v>
      </c>
      <c r="B108" s="20" t="s">
        <v>5</v>
      </c>
      <c r="C108" s="21">
        <v>280150</v>
      </c>
      <c r="D108" s="21"/>
      <c r="E108" s="27">
        <v>38581.020425370458</v>
      </c>
      <c r="F108" s="27">
        <v>23074.630383002044</v>
      </c>
      <c r="G108" s="27">
        <v>21514.349191627498</v>
      </c>
      <c r="H108" s="21">
        <v>23290</v>
      </c>
      <c r="I108" s="21">
        <v>23940</v>
      </c>
      <c r="J108" s="21">
        <v>21780</v>
      </c>
      <c r="K108" s="21">
        <v>18990</v>
      </c>
      <c r="L108" s="21">
        <v>18930</v>
      </c>
      <c r="M108" s="21">
        <v>19250</v>
      </c>
      <c r="N108" s="21">
        <v>17950</v>
      </c>
      <c r="O108" s="21">
        <v>15260</v>
      </c>
      <c r="P108" s="21">
        <v>12340</v>
      </c>
      <c r="Q108" s="21">
        <v>9650</v>
      </c>
      <c r="R108" s="21">
        <v>6800</v>
      </c>
      <c r="S108" s="21">
        <v>4680</v>
      </c>
      <c r="T108" s="21">
        <v>2550</v>
      </c>
      <c r="U108" s="22">
        <v>1570</v>
      </c>
    </row>
    <row r="109" spans="1:21" x14ac:dyDescent="0.2">
      <c r="A109" s="18" t="s">
        <v>23</v>
      </c>
      <c r="B109" s="20" t="s">
        <v>6</v>
      </c>
      <c r="C109" s="21">
        <v>86960</v>
      </c>
      <c r="D109" s="21"/>
      <c r="E109" s="27">
        <v>10506.914904829157</v>
      </c>
      <c r="F109" s="27">
        <v>6284.0011804135656</v>
      </c>
      <c r="G109" s="27">
        <v>5859.0839147572779</v>
      </c>
      <c r="H109" s="21">
        <v>5120</v>
      </c>
      <c r="I109" s="21">
        <v>5580</v>
      </c>
      <c r="J109" s="21">
        <v>5000</v>
      </c>
      <c r="K109" s="21">
        <v>5310</v>
      </c>
      <c r="L109" s="21">
        <v>6040</v>
      </c>
      <c r="M109" s="21">
        <v>6260</v>
      </c>
      <c r="N109" s="21">
        <v>6380</v>
      </c>
      <c r="O109" s="21">
        <v>6040</v>
      </c>
      <c r="P109" s="21">
        <v>5450</v>
      </c>
      <c r="Q109" s="21">
        <v>5010</v>
      </c>
      <c r="R109" s="21">
        <v>3390</v>
      </c>
      <c r="S109" s="21">
        <v>2430</v>
      </c>
      <c r="T109" s="21">
        <v>1430</v>
      </c>
      <c r="U109" s="22">
        <v>870</v>
      </c>
    </row>
    <row r="110" spans="1:21" x14ac:dyDescent="0.2">
      <c r="A110" s="18" t="s">
        <v>23</v>
      </c>
      <c r="B110" s="20" t="s">
        <v>7</v>
      </c>
      <c r="C110" s="21">
        <v>75320</v>
      </c>
      <c r="D110" s="21"/>
      <c r="E110" s="27">
        <v>8813.7476022849442</v>
      </c>
      <c r="F110" s="27">
        <v>5271.347568558841</v>
      </c>
      <c r="G110" s="27">
        <v>4914.9048291562158</v>
      </c>
      <c r="H110" s="21">
        <v>5310</v>
      </c>
      <c r="I110" s="21">
        <v>6240</v>
      </c>
      <c r="J110" s="21">
        <v>5770</v>
      </c>
      <c r="K110" s="21">
        <v>5320</v>
      </c>
      <c r="L110" s="21">
        <v>5390</v>
      </c>
      <c r="M110" s="21">
        <v>5430</v>
      </c>
      <c r="N110" s="21">
        <v>5220</v>
      </c>
      <c r="O110" s="21">
        <v>4910</v>
      </c>
      <c r="P110" s="21">
        <v>3720</v>
      </c>
      <c r="Q110" s="21">
        <v>3250</v>
      </c>
      <c r="R110" s="21">
        <v>2320</v>
      </c>
      <c r="S110" s="21">
        <v>1740</v>
      </c>
      <c r="T110" s="21">
        <v>1020</v>
      </c>
      <c r="U110" s="22">
        <v>680</v>
      </c>
    </row>
    <row r="111" spans="1:21" x14ac:dyDescent="0.2">
      <c r="A111" s="18" t="s">
        <v>23</v>
      </c>
      <c r="B111" s="20" t="s">
        <v>8</v>
      </c>
      <c r="C111" s="21">
        <v>55940</v>
      </c>
      <c r="D111" s="21"/>
      <c r="E111" s="27">
        <v>6800.5020973419614</v>
      </c>
      <c r="F111" s="27">
        <v>4067.2608081617163</v>
      </c>
      <c r="G111" s="27">
        <v>3792.2370944963222</v>
      </c>
      <c r="H111" s="21">
        <v>3640</v>
      </c>
      <c r="I111" s="21">
        <v>4140</v>
      </c>
      <c r="J111" s="21">
        <v>3640</v>
      </c>
      <c r="K111" s="21">
        <v>3630</v>
      </c>
      <c r="L111" s="21">
        <v>3820</v>
      </c>
      <c r="M111" s="21">
        <v>4010</v>
      </c>
      <c r="N111" s="21">
        <v>4010</v>
      </c>
      <c r="O111" s="21">
        <v>3800</v>
      </c>
      <c r="P111" s="21">
        <v>3260</v>
      </c>
      <c r="Q111" s="21">
        <v>2920</v>
      </c>
      <c r="R111" s="21">
        <v>1920</v>
      </c>
      <c r="S111" s="21">
        <v>1310</v>
      </c>
      <c r="T111" s="21">
        <v>730</v>
      </c>
      <c r="U111" s="22">
        <v>450</v>
      </c>
    </row>
    <row r="112" spans="1:21" x14ac:dyDescent="0.2">
      <c r="A112" s="18" t="s">
        <v>23</v>
      </c>
      <c r="B112" s="20" t="s">
        <v>9</v>
      </c>
      <c r="C112" s="21">
        <v>90260</v>
      </c>
      <c r="D112" s="21"/>
      <c r="E112" s="27">
        <v>11309.429818089839</v>
      </c>
      <c r="F112" s="27">
        <v>6763.9712484981337</v>
      </c>
      <c r="G112" s="27">
        <v>6306.5989334120286</v>
      </c>
      <c r="H112" s="21">
        <v>5710</v>
      </c>
      <c r="I112" s="21">
        <v>6150</v>
      </c>
      <c r="J112" s="21">
        <v>5490</v>
      </c>
      <c r="K112" s="21">
        <v>5320</v>
      </c>
      <c r="L112" s="21">
        <v>5770</v>
      </c>
      <c r="M112" s="21">
        <v>6220</v>
      </c>
      <c r="N112" s="21">
        <v>6430</v>
      </c>
      <c r="O112" s="21">
        <v>6070</v>
      </c>
      <c r="P112" s="21">
        <v>5390</v>
      </c>
      <c r="Q112" s="21">
        <v>4980</v>
      </c>
      <c r="R112" s="21">
        <v>3510</v>
      </c>
      <c r="S112" s="21">
        <v>2450</v>
      </c>
      <c r="T112" s="21">
        <v>1510</v>
      </c>
      <c r="U112" s="22">
        <v>880</v>
      </c>
    </row>
    <row r="113" spans="1:21" x14ac:dyDescent="0.2">
      <c r="A113" s="18" t="s">
        <v>23</v>
      </c>
      <c r="B113" s="20" t="s">
        <v>10</v>
      </c>
      <c r="C113" s="21">
        <v>78490</v>
      </c>
      <c r="D113" s="21"/>
      <c r="E113" s="27">
        <v>7955.5669146940409</v>
      </c>
      <c r="F113" s="27">
        <v>4758.0847789886384</v>
      </c>
      <c r="G113" s="27">
        <v>4436.3483063173207</v>
      </c>
      <c r="H113" s="21">
        <v>4030</v>
      </c>
      <c r="I113" s="21">
        <v>4580</v>
      </c>
      <c r="J113" s="21">
        <v>4590</v>
      </c>
      <c r="K113" s="21">
        <v>4800</v>
      </c>
      <c r="L113" s="21">
        <v>5730</v>
      </c>
      <c r="M113" s="21">
        <v>6170</v>
      </c>
      <c r="N113" s="21">
        <v>6310</v>
      </c>
      <c r="O113" s="21">
        <v>6130</v>
      </c>
      <c r="P113" s="21">
        <v>5590</v>
      </c>
      <c r="Q113" s="21">
        <v>5180</v>
      </c>
      <c r="R113" s="21">
        <v>3510</v>
      </c>
      <c r="S113" s="21">
        <v>2380</v>
      </c>
      <c r="T113" s="21">
        <v>1400</v>
      </c>
      <c r="U113" s="22">
        <v>940</v>
      </c>
    </row>
    <row r="114" spans="1:21" x14ac:dyDescent="0.2">
      <c r="A114" s="18" t="s">
        <v>23</v>
      </c>
      <c r="B114" s="20" t="s">
        <v>11</v>
      </c>
      <c r="C114" s="21">
        <v>93150</v>
      </c>
      <c r="D114" s="21"/>
      <c r="E114" s="27">
        <v>10794.521405535297</v>
      </c>
      <c r="F114" s="27">
        <v>6456.0135747560125</v>
      </c>
      <c r="G114" s="27">
        <v>6019.4650197086912</v>
      </c>
      <c r="H114" s="21">
        <v>5010</v>
      </c>
      <c r="I114" s="21">
        <v>5820</v>
      </c>
      <c r="J114" s="21">
        <v>5380</v>
      </c>
      <c r="K114" s="21">
        <v>5140</v>
      </c>
      <c r="L114" s="21">
        <v>5870</v>
      </c>
      <c r="M114" s="21">
        <v>6860</v>
      </c>
      <c r="N114" s="21">
        <v>7310</v>
      </c>
      <c r="O114" s="21">
        <v>7370</v>
      </c>
      <c r="P114" s="21">
        <v>6680</v>
      </c>
      <c r="Q114" s="21">
        <v>5790</v>
      </c>
      <c r="R114" s="21">
        <v>3840</v>
      </c>
      <c r="S114" s="21">
        <v>2590</v>
      </c>
      <c r="T114" s="21">
        <v>1380</v>
      </c>
      <c r="U114" s="22">
        <v>840</v>
      </c>
    </row>
    <row r="115" spans="1:21" x14ac:dyDescent="0.2">
      <c r="A115" s="18" t="s">
        <v>23</v>
      </c>
      <c r="B115" s="20" t="s">
        <v>12</v>
      </c>
      <c r="C115" s="21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2"/>
    </row>
    <row r="116" spans="1:21" x14ac:dyDescent="0.2">
      <c r="A116" s="18" t="s">
        <v>23</v>
      </c>
      <c r="B116" s="20" t="s">
        <v>13</v>
      </c>
      <c r="C116" s="21">
        <v>29410</v>
      </c>
      <c r="D116" s="21"/>
      <c r="E116" s="36">
        <v>2966.5218903480113</v>
      </c>
      <c r="F116" s="36">
        <v>1774.2246158386206</v>
      </c>
      <c r="G116" s="36">
        <v>1654.2534938133683</v>
      </c>
      <c r="H116" s="21">
        <v>1665</v>
      </c>
      <c r="I116" s="21">
        <v>1975</v>
      </c>
      <c r="J116" s="21">
        <v>1685</v>
      </c>
      <c r="K116" s="21">
        <v>1745</v>
      </c>
      <c r="L116" s="21">
        <v>1920</v>
      </c>
      <c r="M116" s="21">
        <v>2160</v>
      </c>
      <c r="N116" s="21">
        <v>2350</v>
      </c>
      <c r="O116" s="21">
        <v>2250</v>
      </c>
      <c r="P116" s="21">
        <v>2010</v>
      </c>
      <c r="Q116" s="21">
        <v>1875</v>
      </c>
      <c r="R116" s="21">
        <v>1345</v>
      </c>
      <c r="S116" s="21">
        <v>1045</v>
      </c>
      <c r="T116" s="21">
        <v>610</v>
      </c>
      <c r="U116" s="22">
        <v>380</v>
      </c>
    </row>
    <row r="117" spans="1:21" x14ac:dyDescent="0.2">
      <c r="A117" s="18" t="s">
        <v>23</v>
      </c>
      <c r="B117" s="20" t="s">
        <v>14</v>
      </c>
      <c r="C117" s="21">
        <v>167450</v>
      </c>
      <c r="D117" s="21"/>
      <c r="E117" s="36">
        <v>20744.778567062247</v>
      </c>
      <c r="F117" s="36">
        <v>12407.08754031323</v>
      </c>
      <c r="G117" s="36">
        <v>11568.133892624524</v>
      </c>
      <c r="H117" s="21">
        <v>11870</v>
      </c>
      <c r="I117" s="21">
        <v>12120</v>
      </c>
      <c r="J117" s="21">
        <v>11170</v>
      </c>
      <c r="K117" s="21">
        <v>10350</v>
      </c>
      <c r="L117" s="21">
        <v>10930</v>
      </c>
      <c r="M117" s="21">
        <v>11410</v>
      </c>
      <c r="N117" s="21">
        <v>11630</v>
      </c>
      <c r="O117" s="21">
        <v>11150</v>
      </c>
      <c r="P117" s="21">
        <v>9490</v>
      </c>
      <c r="Q117" s="21">
        <v>8280</v>
      </c>
      <c r="R117" s="21">
        <v>5670</v>
      </c>
      <c r="S117" s="21">
        <v>4300</v>
      </c>
      <c r="T117" s="21">
        <v>2570</v>
      </c>
      <c r="U117" s="22">
        <v>1790</v>
      </c>
    </row>
    <row r="118" spans="1:21" x14ac:dyDescent="0.2">
      <c r="A118" s="18" t="s">
        <v>23</v>
      </c>
      <c r="B118" s="20" t="s">
        <v>15</v>
      </c>
      <c r="C118" s="21">
        <v>24115</v>
      </c>
      <c r="D118" s="21"/>
      <c r="E118" s="36">
        <v>3159.0326932400244</v>
      </c>
      <c r="F118" s="36">
        <v>1889.3619443097741</v>
      </c>
      <c r="G118" s="36">
        <v>1761.6053624502015</v>
      </c>
      <c r="H118" s="21">
        <v>1540</v>
      </c>
      <c r="I118" s="21">
        <v>1720</v>
      </c>
      <c r="J118" s="21">
        <v>1515</v>
      </c>
      <c r="K118" s="21">
        <v>1430</v>
      </c>
      <c r="L118" s="21">
        <v>1585</v>
      </c>
      <c r="M118" s="21">
        <v>1685</v>
      </c>
      <c r="N118" s="21">
        <v>1700</v>
      </c>
      <c r="O118" s="21">
        <v>1660</v>
      </c>
      <c r="P118" s="21">
        <v>1440</v>
      </c>
      <c r="Q118" s="21">
        <v>1190</v>
      </c>
      <c r="R118" s="21">
        <v>755</v>
      </c>
      <c r="S118" s="21">
        <v>575</v>
      </c>
      <c r="T118" s="21">
        <v>305</v>
      </c>
      <c r="U118" s="22">
        <v>205</v>
      </c>
    </row>
    <row r="119" spans="1:21" x14ac:dyDescent="0.2">
      <c r="A119" s="18" t="s">
        <v>23</v>
      </c>
      <c r="B119" s="20" t="s">
        <v>16</v>
      </c>
      <c r="C119" s="21">
        <v>59535</v>
      </c>
      <c r="D119" s="21"/>
      <c r="E119" s="36">
        <v>6944.3053476950317</v>
      </c>
      <c r="F119" s="36">
        <v>4153.2670053329393</v>
      </c>
      <c r="G119" s="36">
        <v>3872.4276469720289</v>
      </c>
      <c r="H119" s="21">
        <v>3520</v>
      </c>
      <c r="I119" s="21">
        <v>4080</v>
      </c>
      <c r="J119" s="21">
        <v>3985</v>
      </c>
      <c r="K119" s="21">
        <v>3780</v>
      </c>
      <c r="L119" s="21">
        <v>4165</v>
      </c>
      <c r="M119" s="21">
        <v>4215</v>
      </c>
      <c r="N119" s="21">
        <v>4310</v>
      </c>
      <c r="O119" s="21">
        <v>4295</v>
      </c>
      <c r="P119" s="21">
        <v>3545</v>
      </c>
      <c r="Q119" s="21">
        <v>3105</v>
      </c>
      <c r="R119" s="21">
        <v>2240</v>
      </c>
      <c r="S119" s="21">
        <v>1620</v>
      </c>
      <c r="T119" s="21">
        <v>1040</v>
      </c>
      <c r="U119" s="22">
        <v>665</v>
      </c>
    </row>
    <row r="120" spans="1:21" x14ac:dyDescent="0.2">
      <c r="A120" s="18" t="s">
        <v>23</v>
      </c>
      <c r="B120" s="20" t="s">
        <v>17</v>
      </c>
      <c r="C120" s="21">
        <v>210280</v>
      </c>
      <c r="D120" s="21"/>
      <c r="E120" s="36">
        <v>26742.765751143525</v>
      </c>
      <c r="F120" s="36">
        <v>15994.378280390378</v>
      </c>
      <c r="G120" s="36">
        <v>14912.855968466096</v>
      </c>
      <c r="H120" s="21">
        <v>14540</v>
      </c>
      <c r="I120" s="21">
        <v>15490</v>
      </c>
      <c r="J120" s="21">
        <v>13920</v>
      </c>
      <c r="K120" s="21">
        <v>13210</v>
      </c>
      <c r="L120" s="21">
        <v>13850</v>
      </c>
      <c r="M120" s="21">
        <v>14480</v>
      </c>
      <c r="N120" s="21">
        <v>13980</v>
      </c>
      <c r="O120" s="21">
        <v>13580</v>
      </c>
      <c r="P120" s="21">
        <v>11830</v>
      </c>
      <c r="Q120" s="21">
        <v>10380</v>
      </c>
      <c r="R120" s="21">
        <v>7420</v>
      </c>
      <c r="S120" s="21">
        <v>5140</v>
      </c>
      <c r="T120" s="21">
        <v>2940</v>
      </c>
      <c r="U120" s="22">
        <v>1870</v>
      </c>
    </row>
    <row r="121" spans="1:21" x14ac:dyDescent="0.2">
      <c r="A121" s="18" t="s">
        <v>23</v>
      </c>
      <c r="B121" s="20" t="s">
        <v>18</v>
      </c>
      <c r="C121" s="21">
        <v>23890</v>
      </c>
      <c r="D121" s="21"/>
      <c r="E121" s="36">
        <v>2504.9598448599313</v>
      </c>
      <c r="F121" s="36">
        <v>1498.1724668535653</v>
      </c>
      <c r="G121" s="36">
        <v>1396.8676882865034</v>
      </c>
      <c r="H121" s="21">
        <v>1240</v>
      </c>
      <c r="I121" s="21">
        <v>1325</v>
      </c>
      <c r="J121" s="21">
        <v>1320</v>
      </c>
      <c r="K121" s="21">
        <v>1475</v>
      </c>
      <c r="L121" s="21">
        <v>1685</v>
      </c>
      <c r="M121" s="21">
        <v>1760</v>
      </c>
      <c r="N121" s="21">
        <v>1835</v>
      </c>
      <c r="O121" s="21">
        <v>1855</v>
      </c>
      <c r="P121" s="21">
        <v>1765</v>
      </c>
      <c r="Q121" s="21">
        <v>1650</v>
      </c>
      <c r="R121" s="21">
        <v>1065</v>
      </c>
      <c r="S121" s="21">
        <v>800</v>
      </c>
      <c r="T121" s="21">
        <v>425</v>
      </c>
      <c r="U121" s="22">
        <v>290</v>
      </c>
    </row>
    <row r="122" spans="1:21" x14ac:dyDescent="0.2">
      <c r="A122" s="18" t="s">
        <v>23</v>
      </c>
      <c r="B122" s="20" t="s">
        <v>19</v>
      </c>
      <c r="C122" s="21">
        <v>304440</v>
      </c>
      <c r="D122" s="21"/>
      <c r="E122" s="36">
        <v>36261.613161611262</v>
      </c>
      <c r="F122" s="36">
        <v>21687.433654433928</v>
      </c>
      <c r="G122" s="36">
        <v>20220.953183954811</v>
      </c>
      <c r="H122" s="21">
        <v>22560</v>
      </c>
      <c r="I122" s="21">
        <v>25700</v>
      </c>
      <c r="J122" s="21">
        <v>25400</v>
      </c>
      <c r="K122" s="21">
        <v>21790</v>
      </c>
      <c r="L122" s="21">
        <v>21460</v>
      </c>
      <c r="M122" s="21">
        <v>21700</v>
      </c>
      <c r="N122" s="21">
        <v>20510</v>
      </c>
      <c r="O122" s="21">
        <v>18090</v>
      </c>
      <c r="P122" s="21">
        <v>14510</v>
      </c>
      <c r="Q122" s="21">
        <v>12370</v>
      </c>
      <c r="R122" s="21">
        <v>9100</v>
      </c>
      <c r="S122" s="21">
        <v>6450</v>
      </c>
      <c r="T122" s="21">
        <v>3750</v>
      </c>
      <c r="U122" s="22">
        <v>2880</v>
      </c>
    </row>
    <row r="123" spans="1:21" x14ac:dyDescent="0.2">
      <c r="A123" s="18" t="s">
        <v>23</v>
      </c>
      <c r="B123" s="20" t="s">
        <v>20</v>
      </c>
      <c r="C123" s="21">
        <v>15140</v>
      </c>
      <c r="D123" s="21"/>
      <c r="E123" s="36">
        <v>1498.3370923884404</v>
      </c>
      <c r="F123" s="36">
        <v>896.12908665500299</v>
      </c>
      <c r="G123" s="36">
        <v>835.53382095655661</v>
      </c>
      <c r="H123" s="21">
        <v>930</v>
      </c>
      <c r="I123" s="21">
        <v>1050</v>
      </c>
      <c r="J123" s="21">
        <v>835</v>
      </c>
      <c r="K123" s="21">
        <v>875</v>
      </c>
      <c r="L123" s="21">
        <v>1000</v>
      </c>
      <c r="M123" s="21">
        <v>1175</v>
      </c>
      <c r="N123" s="21">
        <v>1340</v>
      </c>
      <c r="O123" s="21">
        <v>1285</v>
      </c>
      <c r="P123" s="21">
        <v>1095</v>
      </c>
      <c r="Q123" s="21">
        <v>900</v>
      </c>
      <c r="R123" s="21">
        <v>655</v>
      </c>
      <c r="S123" s="21">
        <v>435</v>
      </c>
      <c r="T123" s="21">
        <v>195</v>
      </c>
      <c r="U123" s="22">
        <v>140</v>
      </c>
    </row>
    <row r="124" spans="1:21" x14ac:dyDescent="0.2">
      <c r="A124" s="18" t="s">
        <v>23</v>
      </c>
      <c r="B124" s="20" t="s">
        <v>21</v>
      </c>
      <c r="C124" s="21">
        <v>32750</v>
      </c>
      <c r="D124" s="21"/>
      <c r="E124" s="36">
        <v>3808.4667270925993</v>
      </c>
      <c r="F124" s="36">
        <v>2277.7770283088466</v>
      </c>
      <c r="G124" s="36">
        <v>2123.7562445985541</v>
      </c>
      <c r="H124" s="21">
        <v>1900</v>
      </c>
      <c r="I124" s="21">
        <v>2090</v>
      </c>
      <c r="J124" s="21">
        <v>1840</v>
      </c>
      <c r="K124" s="21">
        <v>1730</v>
      </c>
      <c r="L124" s="21">
        <v>2110</v>
      </c>
      <c r="M124" s="21">
        <v>2280</v>
      </c>
      <c r="N124" s="21">
        <v>2550</v>
      </c>
      <c r="O124" s="21">
        <v>2480</v>
      </c>
      <c r="P124" s="21">
        <v>2210</v>
      </c>
      <c r="Q124" s="21">
        <v>1970</v>
      </c>
      <c r="R124" s="21">
        <v>1400</v>
      </c>
      <c r="S124" s="21">
        <v>1060</v>
      </c>
      <c r="T124" s="21">
        <v>570</v>
      </c>
      <c r="U124" s="22">
        <v>350</v>
      </c>
    </row>
    <row r="125" spans="1:21" x14ac:dyDescent="0.2">
      <c r="A125" s="18" t="s">
        <v>23</v>
      </c>
      <c r="B125" s="29" t="s">
        <v>22</v>
      </c>
      <c r="C125" s="31">
        <v>2430700</v>
      </c>
      <c r="D125" s="31"/>
      <c r="E125" s="32">
        <v>295364.91800341476</v>
      </c>
      <c r="F125" s="32">
        <v>176652.56739950675</v>
      </c>
      <c r="G125" s="32">
        <v>164707.51459707849</v>
      </c>
      <c r="H125" s="31">
        <v>178895</v>
      </c>
      <c r="I125" s="31">
        <v>190510</v>
      </c>
      <c r="J125" s="31">
        <v>171930</v>
      </c>
      <c r="K125" s="31">
        <v>157925</v>
      </c>
      <c r="L125" s="31">
        <v>165485</v>
      </c>
      <c r="M125" s="31">
        <v>170465</v>
      </c>
      <c r="N125" s="31">
        <v>167195</v>
      </c>
      <c r="O125" s="31">
        <v>154085</v>
      </c>
      <c r="P125" s="31">
        <v>131345</v>
      </c>
      <c r="Q125" s="31">
        <v>113380</v>
      </c>
      <c r="R125" s="31">
        <v>79660</v>
      </c>
      <c r="S125" s="31">
        <v>57345</v>
      </c>
      <c r="T125" s="31">
        <v>33265</v>
      </c>
      <c r="U125" s="33">
        <v>22490</v>
      </c>
    </row>
    <row r="126" spans="1:21" x14ac:dyDescent="0.2">
      <c r="A126" s="18" t="s">
        <v>22</v>
      </c>
      <c r="B126" s="20" t="s">
        <v>1</v>
      </c>
      <c r="C126" s="21">
        <v>476050</v>
      </c>
      <c r="D126" s="21"/>
      <c r="E126" s="21">
        <v>58461.940508172178</v>
      </c>
      <c r="F126" s="21">
        <v>35053.112810942723</v>
      </c>
      <c r="G126" s="21">
        <v>32594.946680885099</v>
      </c>
      <c r="H126" s="21">
        <v>54080</v>
      </c>
      <c r="I126" s="21">
        <v>50950</v>
      </c>
      <c r="J126" s="21">
        <v>38760</v>
      </c>
      <c r="K126" s="21">
        <v>31530</v>
      </c>
      <c r="L126" s="21">
        <v>30780</v>
      </c>
      <c r="M126" s="21">
        <v>29760</v>
      </c>
      <c r="N126" s="21">
        <v>28640</v>
      </c>
      <c r="O126" s="21">
        <v>24250</v>
      </c>
      <c r="P126" s="21">
        <v>19940</v>
      </c>
      <c r="Q126" s="21">
        <v>15720</v>
      </c>
      <c r="R126" s="21">
        <v>10550</v>
      </c>
      <c r="S126" s="21">
        <v>7710</v>
      </c>
      <c r="T126" s="22">
        <v>4260</v>
      </c>
      <c r="U126" s="22">
        <v>3010</v>
      </c>
    </row>
    <row r="127" spans="1:21" x14ac:dyDescent="0.2">
      <c r="A127" s="18" t="s">
        <v>22</v>
      </c>
      <c r="B127" s="20" t="s">
        <v>2</v>
      </c>
      <c r="C127" s="21">
        <v>252680</v>
      </c>
      <c r="D127" s="21"/>
      <c r="E127" s="21">
        <v>29970.378668252568</v>
      </c>
      <c r="F127" s="21">
        <v>17969.897258167053</v>
      </c>
      <c r="G127" s="21">
        <v>16709.724073580379</v>
      </c>
      <c r="H127" s="21">
        <v>15490</v>
      </c>
      <c r="I127" s="21">
        <v>16760</v>
      </c>
      <c r="J127" s="21">
        <v>16240</v>
      </c>
      <c r="K127" s="21">
        <v>15370</v>
      </c>
      <c r="L127" s="21">
        <v>17010</v>
      </c>
      <c r="M127" s="21">
        <v>17530</v>
      </c>
      <c r="N127" s="21">
        <v>17640</v>
      </c>
      <c r="O127" s="21">
        <v>17090</v>
      </c>
      <c r="P127" s="21">
        <v>15840</v>
      </c>
      <c r="Q127" s="21">
        <v>14730</v>
      </c>
      <c r="R127" s="21">
        <v>10540</v>
      </c>
      <c r="S127" s="21">
        <v>7450</v>
      </c>
      <c r="T127" s="21">
        <v>3930</v>
      </c>
      <c r="U127" s="22">
        <v>2410</v>
      </c>
    </row>
    <row r="128" spans="1:21" x14ac:dyDescent="0.2">
      <c r="A128" s="18" t="s">
        <v>22</v>
      </c>
      <c r="B128" s="20" t="s">
        <v>3</v>
      </c>
      <c r="C128" s="21">
        <v>553210</v>
      </c>
      <c r="D128" s="21"/>
      <c r="E128" s="21">
        <v>67599.081475709041</v>
      </c>
      <c r="F128" s="21">
        <v>40531.63833234214</v>
      </c>
      <c r="G128" s="21">
        <v>37689.280191948812</v>
      </c>
      <c r="H128" s="21">
        <v>41750</v>
      </c>
      <c r="I128" s="21">
        <v>45010</v>
      </c>
      <c r="J128" s="21">
        <v>39550</v>
      </c>
      <c r="K128" s="21">
        <v>37310</v>
      </c>
      <c r="L128" s="21">
        <v>38450</v>
      </c>
      <c r="M128" s="21">
        <v>39670</v>
      </c>
      <c r="N128" s="21">
        <v>37360</v>
      </c>
      <c r="O128" s="21">
        <v>34630</v>
      </c>
      <c r="P128" s="21">
        <v>28840</v>
      </c>
      <c r="Q128" s="21">
        <v>24840</v>
      </c>
      <c r="R128" s="21">
        <v>16810</v>
      </c>
      <c r="S128" s="21">
        <v>12000</v>
      </c>
      <c r="T128" s="21">
        <v>6860</v>
      </c>
      <c r="U128" s="22">
        <v>4310</v>
      </c>
    </row>
    <row r="129" spans="1:21" x14ac:dyDescent="0.2">
      <c r="A129" s="18" t="s">
        <v>22</v>
      </c>
      <c r="B129" s="20" t="s">
        <v>4</v>
      </c>
      <c r="C129" s="21">
        <v>310200</v>
      </c>
      <c r="D129" s="21"/>
      <c r="E129" s="21">
        <v>40424.083834054509</v>
      </c>
      <c r="F129" s="21">
        <v>24237.819658347515</v>
      </c>
      <c r="G129" s="21">
        <v>22538.096507597973</v>
      </c>
      <c r="H129" s="21">
        <v>27680</v>
      </c>
      <c r="I129" s="21">
        <v>25330</v>
      </c>
      <c r="J129" s="21">
        <v>22530</v>
      </c>
      <c r="K129" s="21">
        <v>21370</v>
      </c>
      <c r="L129" s="21">
        <v>22110</v>
      </c>
      <c r="M129" s="21">
        <v>21590</v>
      </c>
      <c r="N129" s="21">
        <v>20300</v>
      </c>
      <c r="O129" s="21">
        <v>16970</v>
      </c>
      <c r="P129" s="21">
        <v>14150</v>
      </c>
      <c r="Q129" s="21">
        <v>11780</v>
      </c>
      <c r="R129" s="21">
        <v>8350</v>
      </c>
      <c r="S129" s="21">
        <v>5650</v>
      </c>
      <c r="T129" s="21">
        <v>3290</v>
      </c>
      <c r="U129" s="22">
        <v>1900</v>
      </c>
    </row>
    <row r="130" spans="1:21" x14ac:dyDescent="0.2">
      <c r="A130" s="18" t="s">
        <v>22</v>
      </c>
      <c r="B130" s="20" t="s">
        <v>5</v>
      </c>
      <c r="C130" s="21">
        <v>559050</v>
      </c>
      <c r="D130" s="21"/>
      <c r="E130" s="21">
        <v>80060.08346492218</v>
      </c>
      <c r="F130" s="21">
        <v>48003.113016016236</v>
      </c>
      <c r="G130" s="21">
        <v>44636.803519061585</v>
      </c>
      <c r="H130" s="21">
        <v>47780</v>
      </c>
      <c r="I130" s="21">
        <v>47310</v>
      </c>
      <c r="J130" s="21">
        <v>42580</v>
      </c>
      <c r="K130" s="21">
        <v>37650</v>
      </c>
      <c r="L130" s="21">
        <v>37210</v>
      </c>
      <c r="M130" s="21">
        <v>37790</v>
      </c>
      <c r="N130" s="21">
        <v>35530</v>
      </c>
      <c r="O130" s="21">
        <v>29790</v>
      </c>
      <c r="P130" s="21">
        <v>23900</v>
      </c>
      <c r="Q130" s="21">
        <v>18800</v>
      </c>
      <c r="R130" s="21">
        <v>12810</v>
      </c>
      <c r="S130" s="21">
        <v>8530</v>
      </c>
      <c r="T130" s="21">
        <v>4240</v>
      </c>
      <c r="U130" s="22">
        <v>2430</v>
      </c>
    </row>
    <row r="131" spans="1:21" x14ac:dyDescent="0.2">
      <c r="A131" s="18" t="s">
        <v>22</v>
      </c>
      <c r="B131" s="20" t="s">
        <v>6</v>
      </c>
      <c r="C131" s="21">
        <v>170200</v>
      </c>
      <c r="D131" s="21"/>
      <c r="E131" s="21">
        <v>21301.452433197301</v>
      </c>
      <c r="F131" s="21">
        <v>12772.107950700325</v>
      </c>
      <c r="G131" s="21">
        <v>11876.439616102372</v>
      </c>
      <c r="H131" s="21">
        <v>10650</v>
      </c>
      <c r="I131" s="21">
        <v>11030</v>
      </c>
      <c r="J131" s="21">
        <v>9940</v>
      </c>
      <c r="K131" s="21">
        <v>10250</v>
      </c>
      <c r="L131" s="21">
        <v>11690</v>
      </c>
      <c r="M131" s="21">
        <v>12100</v>
      </c>
      <c r="N131" s="21">
        <v>12250</v>
      </c>
      <c r="O131" s="21">
        <v>11650</v>
      </c>
      <c r="P131" s="21">
        <v>10400</v>
      </c>
      <c r="Q131" s="21">
        <v>9570</v>
      </c>
      <c r="R131" s="21">
        <v>6530</v>
      </c>
      <c r="S131" s="21">
        <v>4410</v>
      </c>
      <c r="T131" s="21">
        <v>2430</v>
      </c>
      <c r="U131" s="22">
        <v>1350</v>
      </c>
    </row>
    <row r="132" spans="1:21" x14ac:dyDescent="0.2">
      <c r="A132" s="18" t="s">
        <v>22</v>
      </c>
      <c r="B132" s="20" t="s">
        <v>7</v>
      </c>
      <c r="C132" s="21">
        <v>149810</v>
      </c>
      <c r="D132" s="21"/>
      <c r="E132" s="21">
        <v>18260.374566782193</v>
      </c>
      <c r="F132" s="21">
        <v>10948.712343375098</v>
      </c>
      <c r="G132" s="21">
        <v>10180.913089842708</v>
      </c>
      <c r="H132" s="21">
        <v>10830</v>
      </c>
      <c r="I132" s="21">
        <v>12440</v>
      </c>
      <c r="J132" s="21">
        <v>11600</v>
      </c>
      <c r="K132" s="21">
        <v>10600</v>
      </c>
      <c r="L132" s="21">
        <v>10700</v>
      </c>
      <c r="M132" s="21">
        <v>10850</v>
      </c>
      <c r="N132" s="21">
        <v>10160</v>
      </c>
      <c r="O132" s="21">
        <v>9590</v>
      </c>
      <c r="P132" s="21">
        <v>7350</v>
      </c>
      <c r="Q132" s="21">
        <v>6300</v>
      </c>
      <c r="R132" s="21">
        <v>4270</v>
      </c>
      <c r="S132" s="21">
        <v>3020</v>
      </c>
      <c r="T132" s="21">
        <v>1710</v>
      </c>
      <c r="U132" s="22">
        <v>1000</v>
      </c>
    </row>
    <row r="133" spans="1:21" x14ac:dyDescent="0.2">
      <c r="A133" s="18" t="s">
        <v>22</v>
      </c>
      <c r="B133" s="20" t="s">
        <v>8</v>
      </c>
      <c r="C133" s="21">
        <v>110610</v>
      </c>
      <c r="D133" s="21"/>
      <c r="E133" s="21">
        <v>14255.052498820827</v>
      </c>
      <c r="F133" s="21">
        <v>8547.1669093369965</v>
      </c>
      <c r="G133" s="21">
        <v>7947.7805918421755</v>
      </c>
      <c r="H133" s="21">
        <v>7470</v>
      </c>
      <c r="I133" s="21">
        <v>8020</v>
      </c>
      <c r="J133" s="21">
        <v>7150</v>
      </c>
      <c r="K133" s="21">
        <v>6950</v>
      </c>
      <c r="L133" s="21">
        <v>7540</v>
      </c>
      <c r="M133" s="21">
        <v>7780</v>
      </c>
      <c r="N133" s="21">
        <v>7750</v>
      </c>
      <c r="O133" s="21">
        <v>7320</v>
      </c>
      <c r="P133" s="21">
        <v>6210</v>
      </c>
      <c r="Q133" s="21">
        <v>5640</v>
      </c>
      <c r="R133" s="21">
        <v>3700</v>
      </c>
      <c r="S133" s="21">
        <v>2410</v>
      </c>
      <c r="T133" s="21">
        <v>1260</v>
      </c>
      <c r="U133" s="22">
        <v>660</v>
      </c>
    </row>
    <row r="134" spans="1:21" x14ac:dyDescent="0.2">
      <c r="A134" s="18" t="s">
        <v>22</v>
      </c>
      <c r="B134" s="20" t="s">
        <v>9</v>
      </c>
      <c r="C134" s="21">
        <v>177400</v>
      </c>
      <c r="D134" s="21"/>
      <c r="E134" s="21">
        <v>23137.225047679593</v>
      </c>
      <c r="F134" s="21">
        <v>13872.816274634455</v>
      </c>
      <c r="G134" s="21">
        <v>12899.958677685951</v>
      </c>
      <c r="H134" s="21">
        <v>12020</v>
      </c>
      <c r="I134" s="21">
        <v>11990</v>
      </c>
      <c r="J134" s="21">
        <v>10850</v>
      </c>
      <c r="K134" s="21">
        <v>10350</v>
      </c>
      <c r="L134" s="21">
        <v>11240</v>
      </c>
      <c r="M134" s="21">
        <v>11930</v>
      </c>
      <c r="N134" s="21">
        <v>12340</v>
      </c>
      <c r="O134" s="21">
        <v>11820</v>
      </c>
      <c r="P134" s="21">
        <v>10310</v>
      </c>
      <c r="Q134" s="21">
        <v>9510</v>
      </c>
      <c r="R134" s="21">
        <v>6660</v>
      </c>
      <c r="S134" s="21">
        <v>4610</v>
      </c>
      <c r="T134" s="21">
        <v>2470</v>
      </c>
      <c r="U134" s="22">
        <v>1390</v>
      </c>
    </row>
    <row r="135" spans="1:21" x14ac:dyDescent="0.2">
      <c r="A135" s="18" t="s">
        <v>22</v>
      </c>
      <c r="B135" s="20" t="s">
        <v>10</v>
      </c>
      <c r="C135" s="21">
        <v>155830</v>
      </c>
      <c r="D135" s="21"/>
      <c r="E135" s="21">
        <v>16563.675635215226</v>
      </c>
      <c r="F135" s="21">
        <v>9931.3910136784034</v>
      </c>
      <c r="G135" s="21">
        <v>9234.9333511063724</v>
      </c>
      <c r="H135" s="21">
        <v>8630</v>
      </c>
      <c r="I135" s="21">
        <v>9160</v>
      </c>
      <c r="J135" s="21">
        <v>9100</v>
      </c>
      <c r="K135" s="21">
        <v>9280</v>
      </c>
      <c r="L135" s="21">
        <v>11170</v>
      </c>
      <c r="M135" s="21">
        <v>12000</v>
      </c>
      <c r="N135" s="21">
        <v>12230</v>
      </c>
      <c r="O135" s="21">
        <v>11920</v>
      </c>
      <c r="P135" s="21">
        <v>10870</v>
      </c>
      <c r="Q135" s="21">
        <v>10240</v>
      </c>
      <c r="R135" s="21">
        <v>6950</v>
      </c>
      <c r="S135" s="21">
        <v>4560</v>
      </c>
      <c r="T135" s="21">
        <v>2520</v>
      </c>
      <c r="U135" s="22">
        <v>1470</v>
      </c>
    </row>
    <row r="136" spans="1:21" x14ac:dyDescent="0.2">
      <c r="A136" s="18" t="s">
        <v>22</v>
      </c>
      <c r="B136" s="20" t="s">
        <v>11</v>
      </c>
      <c r="C136" s="21">
        <v>185390</v>
      </c>
      <c r="D136" s="21"/>
      <c r="E136" s="21">
        <v>22312.054529048666</v>
      </c>
      <c r="F136" s="21">
        <v>13378.053442159013</v>
      </c>
      <c r="G136" s="21">
        <v>12439.892028792323</v>
      </c>
      <c r="H136" s="21">
        <v>10340</v>
      </c>
      <c r="I136" s="21">
        <v>11610</v>
      </c>
      <c r="J136" s="21">
        <v>10690</v>
      </c>
      <c r="K136" s="21">
        <v>10100</v>
      </c>
      <c r="L136" s="21">
        <v>11670</v>
      </c>
      <c r="M136" s="21">
        <v>13360</v>
      </c>
      <c r="N136" s="21">
        <v>14110</v>
      </c>
      <c r="O136" s="21">
        <v>14300</v>
      </c>
      <c r="P136" s="21">
        <v>13210</v>
      </c>
      <c r="Q136" s="21">
        <v>11590</v>
      </c>
      <c r="R136" s="21">
        <v>7560</v>
      </c>
      <c r="S136" s="21">
        <v>4980</v>
      </c>
      <c r="T136" s="21">
        <v>2410</v>
      </c>
      <c r="U136" s="22">
        <v>1330</v>
      </c>
    </row>
    <row r="137" spans="1:21" x14ac:dyDescent="0.2">
      <c r="A137" s="18" t="s">
        <v>22</v>
      </c>
      <c r="B137" s="20" t="s">
        <v>12</v>
      </c>
      <c r="C137" s="21">
        <v>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2"/>
    </row>
    <row r="138" spans="1:21" x14ac:dyDescent="0.2">
      <c r="A138" s="18" t="s">
        <v>22</v>
      </c>
      <c r="B138" s="20" t="s">
        <v>13</v>
      </c>
      <c r="C138" s="21">
        <v>58825</v>
      </c>
      <c r="D138" s="21"/>
      <c r="E138" s="21">
        <v>6286.1304677726966</v>
      </c>
      <c r="F138" s="21">
        <v>3769.092139532022</v>
      </c>
      <c r="G138" s="21">
        <v>3504.7773926952814</v>
      </c>
      <c r="H138" s="21">
        <v>3595</v>
      </c>
      <c r="I138" s="21">
        <v>3955</v>
      </c>
      <c r="J138" s="21">
        <v>3410</v>
      </c>
      <c r="K138" s="21">
        <v>3470</v>
      </c>
      <c r="L138" s="21">
        <v>3790</v>
      </c>
      <c r="M138" s="21">
        <v>4175</v>
      </c>
      <c r="N138" s="21">
        <v>4560</v>
      </c>
      <c r="O138" s="21">
        <v>4450</v>
      </c>
      <c r="P138" s="21">
        <v>4060</v>
      </c>
      <c r="Q138" s="21">
        <v>3750</v>
      </c>
      <c r="R138" s="21">
        <v>2570</v>
      </c>
      <c r="S138" s="21">
        <v>1840</v>
      </c>
      <c r="T138" s="21">
        <v>1070</v>
      </c>
      <c r="U138" s="22">
        <v>570</v>
      </c>
    </row>
    <row r="139" spans="1:21" x14ac:dyDescent="0.2">
      <c r="A139" s="18" t="s">
        <v>22</v>
      </c>
      <c r="B139" s="20" t="s">
        <v>14</v>
      </c>
      <c r="C139" s="21">
        <v>333070</v>
      </c>
      <c r="D139" s="21"/>
      <c r="E139" s="21">
        <v>41814.820663207764</v>
      </c>
      <c r="F139" s="21">
        <v>25071.689600721857</v>
      </c>
      <c r="G139" s="21">
        <v>23313.489736070384</v>
      </c>
      <c r="H139" s="21">
        <v>25040</v>
      </c>
      <c r="I139" s="21">
        <v>24770</v>
      </c>
      <c r="J139" s="21">
        <v>22440</v>
      </c>
      <c r="K139" s="21">
        <v>20660</v>
      </c>
      <c r="L139" s="21">
        <v>21800</v>
      </c>
      <c r="M139" s="21">
        <v>22290</v>
      </c>
      <c r="N139" s="21">
        <v>22960</v>
      </c>
      <c r="O139" s="21">
        <v>21920</v>
      </c>
      <c r="P139" s="21">
        <v>18880</v>
      </c>
      <c r="Q139" s="21">
        <v>16400</v>
      </c>
      <c r="R139" s="21">
        <v>10830</v>
      </c>
      <c r="S139" s="21">
        <v>7850</v>
      </c>
      <c r="T139" s="21">
        <v>4330</v>
      </c>
      <c r="U139" s="22">
        <v>2700</v>
      </c>
    </row>
    <row r="140" spans="1:21" x14ac:dyDescent="0.2">
      <c r="A140" s="18" t="s">
        <v>22</v>
      </c>
      <c r="B140" s="20" t="s">
        <v>15</v>
      </c>
      <c r="C140" s="21">
        <v>47735</v>
      </c>
      <c r="D140" s="21"/>
      <c r="E140" s="21">
        <v>6550.3704653118148</v>
      </c>
      <c r="F140" s="21">
        <v>3927.527428583147</v>
      </c>
      <c r="G140" s="21">
        <v>3652.1021061050387</v>
      </c>
      <c r="H140" s="21">
        <v>3175</v>
      </c>
      <c r="I140" s="21">
        <v>3300</v>
      </c>
      <c r="J140" s="21">
        <v>2920</v>
      </c>
      <c r="K140" s="21">
        <v>2860</v>
      </c>
      <c r="L140" s="21">
        <v>3200</v>
      </c>
      <c r="M140" s="21">
        <v>3220</v>
      </c>
      <c r="N140" s="21">
        <v>3270</v>
      </c>
      <c r="O140" s="21">
        <v>3230</v>
      </c>
      <c r="P140" s="21">
        <v>2870</v>
      </c>
      <c r="Q140" s="21">
        <v>2305</v>
      </c>
      <c r="R140" s="21">
        <v>1435</v>
      </c>
      <c r="S140" s="21">
        <v>985</v>
      </c>
      <c r="T140" s="21">
        <v>540</v>
      </c>
      <c r="U140" s="22">
        <v>295</v>
      </c>
    </row>
    <row r="141" spans="1:21" x14ac:dyDescent="0.2">
      <c r="A141" s="18" t="s">
        <v>22</v>
      </c>
      <c r="B141" s="20" t="s">
        <v>16</v>
      </c>
      <c r="C141" s="21">
        <v>118480</v>
      </c>
      <c r="D141" s="21"/>
      <c r="E141" s="21">
        <v>14616.644074400672</v>
      </c>
      <c r="F141" s="21">
        <v>8763.9730943543254</v>
      </c>
      <c r="G141" s="21">
        <v>8149.3828312450014</v>
      </c>
      <c r="H141" s="21">
        <v>7270</v>
      </c>
      <c r="I141" s="21">
        <v>8040</v>
      </c>
      <c r="J141" s="21">
        <v>7880</v>
      </c>
      <c r="K141" s="21">
        <v>7535</v>
      </c>
      <c r="L141" s="21">
        <v>8105</v>
      </c>
      <c r="M141" s="21">
        <v>8320</v>
      </c>
      <c r="N141" s="21">
        <v>8440</v>
      </c>
      <c r="O141" s="21">
        <v>8270</v>
      </c>
      <c r="P141" s="21">
        <v>7035</v>
      </c>
      <c r="Q141" s="21">
        <v>6125</v>
      </c>
      <c r="R141" s="21">
        <v>4290</v>
      </c>
      <c r="S141" s="21">
        <v>2910</v>
      </c>
      <c r="T141" s="21">
        <v>1725</v>
      </c>
      <c r="U141" s="22">
        <v>1005</v>
      </c>
    </row>
    <row r="142" spans="1:21" x14ac:dyDescent="0.2">
      <c r="A142" s="18" t="s">
        <v>22</v>
      </c>
      <c r="B142" s="20" t="s">
        <v>17</v>
      </c>
      <c r="C142" s="21">
        <v>416020</v>
      </c>
      <c r="D142" s="21"/>
      <c r="E142" s="21">
        <v>54920.197383261904</v>
      </c>
      <c r="F142" s="21">
        <v>32929.524024362734</v>
      </c>
      <c r="G142" s="21">
        <v>30620.278592375369</v>
      </c>
      <c r="H142" s="21">
        <v>30070</v>
      </c>
      <c r="I142" s="21">
        <v>30320</v>
      </c>
      <c r="J142" s="21">
        <v>27670</v>
      </c>
      <c r="K142" s="21">
        <v>26060</v>
      </c>
      <c r="L142" s="21">
        <v>27150</v>
      </c>
      <c r="M142" s="21">
        <v>28330</v>
      </c>
      <c r="N142" s="21">
        <v>27300</v>
      </c>
      <c r="O142" s="21">
        <v>26020</v>
      </c>
      <c r="P142" s="21">
        <v>22930</v>
      </c>
      <c r="Q142" s="21">
        <v>20220</v>
      </c>
      <c r="R142" s="21">
        <v>14050</v>
      </c>
      <c r="S142" s="21">
        <v>9460</v>
      </c>
      <c r="T142" s="21">
        <v>5110</v>
      </c>
      <c r="U142" s="22">
        <v>2860</v>
      </c>
    </row>
    <row r="143" spans="1:21" x14ac:dyDescent="0.2">
      <c r="A143" s="18" t="s">
        <v>22</v>
      </c>
      <c r="B143" s="20" t="s">
        <v>18</v>
      </c>
      <c r="C143" s="21">
        <v>46920</v>
      </c>
      <c r="D143" s="21"/>
      <c r="E143" s="21">
        <v>5187.4483727416282</v>
      </c>
      <c r="F143" s="21">
        <v>3110.3348850562925</v>
      </c>
      <c r="G143" s="21">
        <v>2892.2167422020793</v>
      </c>
      <c r="H143" s="21">
        <v>2520</v>
      </c>
      <c r="I143" s="21">
        <v>2655</v>
      </c>
      <c r="J143" s="21">
        <v>2605</v>
      </c>
      <c r="K143" s="21">
        <v>2810</v>
      </c>
      <c r="L143" s="21">
        <v>3185</v>
      </c>
      <c r="M143" s="21">
        <v>3395</v>
      </c>
      <c r="N143" s="21">
        <v>3580</v>
      </c>
      <c r="O143" s="21">
        <v>3560</v>
      </c>
      <c r="P143" s="21">
        <v>3455</v>
      </c>
      <c r="Q143" s="21">
        <v>3195</v>
      </c>
      <c r="R143" s="21">
        <v>2150</v>
      </c>
      <c r="S143" s="21">
        <v>1430</v>
      </c>
      <c r="T143" s="21">
        <v>770</v>
      </c>
      <c r="U143" s="22">
        <v>420</v>
      </c>
    </row>
    <row r="144" spans="1:21" x14ac:dyDescent="0.2">
      <c r="A144" s="18" t="s">
        <v>22</v>
      </c>
      <c r="B144" s="20" t="s">
        <v>19</v>
      </c>
      <c r="C144" s="21">
        <v>600540</v>
      </c>
      <c r="D144" s="21"/>
      <c r="E144" s="21">
        <v>75109.060353136607</v>
      </c>
      <c r="F144" s="21">
        <v>45034.536021163585</v>
      </c>
      <c r="G144" s="21">
        <v>41876.403625699815</v>
      </c>
      <c r="H144" s="21">
        <v>46080</v>
      </c>
      <c r="I144" s="21">
        <v>50110</v>
      </c>
      <c r="J144" s="21">
        <v>49390</v>
      </c>
      <c r="K144" s="21">
        <v>42920</v>
      </c>
      <c r="L144" s="21">
        <v>42180</v>
      </c>
      <c r="M144" s="21">
        <v>42300</v>
      </c>
      <c r="N144" s="21">
        <v>39770</v>
      </c>
      <c r="O144" s="21">
        <v>34520</v>
      </c>
      <c r="P144" s="21">
        <v>27940</v>
      </c>
      <c r="Q144" s="21">
        <v>23710</v>
      </c>
      <c r="R144" s="21">
        <v>17130</v>
      </c>
      <c r="S144" s="21">
        <v>11660</v>
      </c>
      <c r="T144" s="21">
        <v>6500</v>
      </c>
      <c r="U144" s="22">
        <v>4310</v>
      </c>
    </row>
    <row r="145" spans="1:22" x14ac:dyDescent="0.2">
      <c r="A145" s="18" t="s">
        <v>22</v>
      </c>
      <c r="B145" s="20" t="s">
        <v>20</v>
      </c>
      <c r="C145" s="21">
        <v>30890</v>
      </c>
      <c r="D145" s="21"/>
      <c r="E145" s="21">
        <v>3189.4231281914567</v>
      </c>
      <c r="F145" s="21">
        <v>1912.3417345118223</v>
      </c>
      <c r="G145" s="21">
        <v>1778.2351372967209</v>
      </c>
      <c r="H145" s="21">
        <v>1770</v>
      </c>
      <c r="I145" s="21">
        <v>2020</v>
      </c>
      <c r="J145" s="21">
        <v>1730</v>
      </c>
      <c r="K145" s="21">
        <v>1700</v>
      </c>
      <c r="L145" s="21">
        <v>1970</v>
      </c>
      <c r="M145" s="21">
        <v>2350</v>
      </c>
      <c r="N145" s="21">
        <v>2720</v>
      </c>
      <c r="O145" s="21">
        <v>2730</v>
      </c>
      <c r="P145" s="21">
        <v>2325</v>
      </c>
      <c r="Q145" s="21">
        <v>1960</v>
      </c>
      <c r="R145" s="21">
        <v>1305</v>
      </c>
      <c r="S145" s="21">
        <v>835</v>
      </c>
      <c r="T145" s="21">
        <v>385</v>
      </c>
      <c r="U145" s="22">
        <v>210</v>
      </c>
    </row>
    <row r="146" spans="1:22" x14ac:dyDescent="0.2">
      <c r="A146" s="18" t="s">
        <v>22</v>
      </c>
      <c r="B146" s="20" t="s">
        <v>21</v>
      </c>
      <c r="C146" s="21">
        <v>64640</v>
      </c>
      <c r="D146" s="21"/>
      <c r="E146" s="21">
        <v>7811.3051904107624</v>
      </c>
      <c r="F146" s="21">
        <v>4683.5695096692161</v>
      </c>
      <c r="G146" s="21">
        <v>4355.1252999200215</v>
      </c>
      <c r="H146" s="21">
        <v>3880</v>
      </c>
      <c r="I146" s="21">
        <v>4230</v>
      </c>
      <c r="J146" s="21">
        <v>3720</v>
      </c>
      <c r="K146" s="21">
        <v>3470</v>
      </c>
      <c r="L146" s="21">
        <v>4100</v>
      </c>
      <c r="M146" s="21">
        <v>4470</v>
      </c>
      <c r="N146" s="21">
        <v>4870</v>
      </c>
      <c r="O146" s="21">
        <v>4790</v>
      </c>
      <c r="P146" s="21">
        <v>4350</v>
      </c>
      <c r="Q146" s="21">
        <v>3860</v>
      </c>
      <c r="R146" s="21">
        <v>2670</v>
      </c>
      <c r="S146" s="21">
        <v>1860</v>
      </c>
      <c r="T146" s="21">
        <v>960</v>
      </c>
      <c r="U146" s="22">
        <v>560</v>
      </c>
    </row>
    <row r="147" spans="1:22" x14ac:dyDescent="0.2">
      <c r="A147" s="18" t="s">
        <v>22</v>
      </c>
      <c r="B147" s="18" t="s">
        <v>22</v>
      </c>
      <c r="C147" s="21">
        <v>4817550</v>
      </c>
      <c r="D147" s="21"/>
      <c r="E147" s="21">
        <v>607830.80276028963</v>
      </c>
      <c r="F147" s="21">
        <v>364448.41744765494</v>
      </c>
      <c r="G147" s="21">
        <v>338890.77979205549</v>
      </c>
      <c r="H147" s="21">
        <v>370120</v>
      </c>
      <c r="I147" s="21">
        <v>379010</v>
      </c>
      <c r="J147" s="21">
        <v>340755</v>
      </c>
      <c r="K147" s="21">
        <v>312245</v>
      </c>
      <c r="L147" s="21">
        <v>325050</v>
      </c>
      <c r="M147" s="21">
        <v>333210</v>
      </c>
      <c r="N147" s="21">
        <v>325780</v>
      </c>
      <c r="O147" s="21">
        <v>298820</v>
      </c>
      <c r="P147" s="21">
        <v>254865</v>
      </c>
      <c r="Q147" s="21">
        <v>220245</v>
      </c>
      <c r="R147" s="21">
        <v>151160</v>
      </c>
      <c r="S147" s="21">
        <v>104160</v>
      </c>
      <c r="T147" s="21">
        <v>56770</v>
      </c>
      <c r="U147" s="22">
        <v>34190</v>
      </c>
    </row>
    <row r="148" spans="1:22" x14ac:dyDescent="0.2">
      <c r="A148" s="18"/>
      <c r="B148" s="18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2"/>
    </row>
    <row r="149" spans="1:22" x14ac:dyDescent="0.2">
      <c r="A149" s="18"/>
      <c r="B149" s="18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2"/>
    </row>
    <row r="150" spans="1:22" x14ac:dyDescent="0.2">
      <c r="A150" t="s">
        <v>69</v>
      </c>
      <c r="B150" s="18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2"/>
    </row>
    <row r="151" spans="1:22" x14ac:dyDescent="0.2">
      <c r="B151" s="18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2"/>
    </row>
    <row r="152" spans="1:22" x14ac:dyDescent="0.2">
      <c r="A152" s="17" t="s">
        <v>66</v>
      </c>
      <c r="B152" s="17"/>
      <c r="C152" s="17"/>
    </row>
    <row r="153" spans="1:22" x14ac:dyDescent="0.2">
      <c r="A153" s="17" t="str">
        <f>'[1]2021 ERP DHB Population Proj 0+'!A76</f>
        <v>2021 Stats NZ Pop Projections</v>
      </c>
      <c r="B153" s="17"/>
      <c r="C153" s="17"/>
    </row>
  </sheetData>
  <mergeCells count="2">
    <mergeCell ref="C3:V3"/>
    <mergeCell ref="C80:V80"/>
  </mergeCells>
  <dataValidations count="1">
    <dataValidation allowBlank="1" showInputMessage="1" showErrorMessage="1" promptTitle="Method of creating age-bands" prompt="Age bands found by using 2021 ERP projections (MoH). Proportions of 2020 3-17 yr olds for males, females and total Māori &amp; Total. Proportions*total 5-19 yr olds in 2021 for each dhb across genders._x000a_" sqref="E4:G4" xr:uid="{3A32CD50-2B25-034D-8369-5845AC069E76}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8175-A557-2B41-B396-9C04B928D389}">
  <dimension ref="A1:U67"/>
  <sheetViews>
    <sheetView tabSelected="1" topLeftCell="A21" zoomScale="112" zoomScaleNormal="150" workbookViewId="0">
      <selection activeCell="E48" sqref="E48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Table341011[[#This Row],[Total]]-Table3410111213[[#This Row],[Total]]</f>
        <v>403099</v>
      </c>
      <c r="D2" s="5">
        <f>Table341011[[#This Row],[  5-11]]-Table3410111213[[#This Row],[  5-11]]</f>
        <v>14593</v>
      </c>
      <c r="E2" s="5">
        <f>Table341011[[#This Row],[  12-17]]-Table3410111213[[#This Row],[  12-17]]</f>
        <v>27006</v>
      </c>
      <c r="F2" s="5">
        <f>Table341011[[#This Row],[  18-24]]-Table3410111213[[#This Row],[  18-24]]</f>
        <v>42050</v>
      </c>
      <c r="G2" s="5">
        <f>Table341011[[#This Row],[  25-29 ]]-Table3410111213[[#This Row],[  25-29 ]]</f>
        <v>42061</v>
      </c>
      <c r="H2" s="5">
        <f>Table341011[[#This Row],[  30-34]]-Table3410111213[[#This Row],[  30-34]]</f>
        <v>43401</v>
      </c>
      <c r="I2" s="5">
        <f>Table341011[[#This Row],[  35-39]]-Table3410111213[[#This Row],[  35-39]]</f>
        <v>36071</v>
      </c>
      <c r="J2" s="5">
        <f>Table341011[[#This Row],[  40-44]]-Table3410111213[[#This Row],[  40-44]]</f>
        <v>30883</v>
      </c>
      <c r="K2" s="5">
        <f>Table341011[[#This Row],[  45-49 ]]-Table3410111213[[#This Row],[  45-49 ]]</f>
        <v>28109</v>
      </c>
      <c r="L2" s="5">
        <f>Table341011[[#This Row],[  50-54]]-Table3410111213[[#This Row],[  50-54]]</f>
        <v>28804</v>
      </c>
      <c r="M2" s="5">
        <f>Table341011[[#This Row],[  55-59]]-Table3410111213[[#This Row],[  55-59]]</f>
        <v>26205</v>
      </c>
      <c r="N2" s="5">
        <f>Table341011[[#This Row],[  60-64]]-Table3410111213[[#This Row],[  60-64]]</f>
        <v>23146</v>
      </c>
      <c r="O2" s="5">
        <f>Table341011[[#This Row],[  65-69]]-Table3410111213[[#This Row],[  65-69]]</f>
        <v>19520</v>
      </c>
      <c r="P2" s="5">
        <f>Table341011[[#This Row],[  70-74]]-Table3410111213[[#This Row],[  70-74]]</f>
        <v>15483</v>
      </c>
      <c r="Q2" s="5">
        <f>Table341011[[#This Row],[  75-79]]-Table3410111213[[#This Row],[  75-79]]</f>
        <v>11008</v>
      </c>
      <c r="R2" s="5">
        <f>Table341011[[#This Row],[  80-84]]-Table3410111213[[#This Row],[  80-84]]</f>
        <v>7750</v>
      </c>
      <c r="S2" s="5">
        <f>Table341011[[#This Row],[  85-89]]-Table3410111213[[#This Row],[  85-89]]</f>
        <v>4274</v>
      </c>
      <c r="T2" s="5">
        <f>Table341011[[#This Row],[  90+]]-Table3410111213[[#This Row],[  90+]]</f>
        <v>2735</v>
      </c>
    </row>
    <row r="3" spans="1:20" x14ac:dyDescent="0.2">
      <c r="A3" s="9" t="s">
        <v>1</v>
      </c>
      <c r="B3" s="6" t="s">
        <v>0</v>
      </c>
      <c r="C3" s="5">
        <f>Table341011[[#This Row],[Total]]-Table3410111213[[#This Row],[Total]]</f>
        <v>201064</v>
      </c>
      <c r="D3" s="5">
        <f>Table341011[[#This Row],[  5-11]]-Table3410111213[[#This Row],[  5-11]]</f>
        <v>7402</v>
      </c>
      <c r="E3" s="5">
        <f>Table341011[[#This Row],[  12-17]]-Table3410111213[[#This Row],[  12-17]]</f>
        <v>13679</v>
      </c>
      <c r="F3" s="5">
        <f>Table341011[[#This Row],[  18-24]]-Table3410111213[[#This Row],[  18-24]]</f>
        <v>20648</v>
      </c>
      <c r="G3" s="5">
        <f>Table341011[[#This Row],[  25-29 ]]-Table3410111213[[#This Row],[  25-29 ]]</f>
        <v>21503</v>
      </c>
      <c r="H3" s="5">
        <f>Table341011[[#This Row],[  30-34]]-Table3410111213[[#This Row],[  30-34]]</f>
        <v>22238</v>
      </c>
      <c r="I3" s="5">
        <f>Table341011[[#This Row],[  35-39]]-Table3410111213[[#This Row],[  35-39]]</f>
        <v>18588</v>
      </c>
      <c r="J3" s="5">
        <f>Table341011[[#This Row],[  40-44]]-Table3410111213[[#This Row],[  40-44]]</f>
        <v>15685</v>
      </c>
      <c r="K3" s="5">
        <f>Table341011[[#This Row],[  45-49 ]]-Table3410111213[[#This Row],[  45-49 ]]</f>
        <v>13993</v>
      </c>
      <c r="L3" s="5">
        <f>Table341011[[#This Row],[  50-54]]-Table3410111213[[#This Row],[  50-54]]</f>
        <v>14241</v>
      </c>
      <c r="M3" s="5">
        <f>Table341011[[#This Row],[  55-59]]-Table3410111213[[#This Row],[  55-59]]</f>
        <v>13074</v>
      </c>
      <c r="N3" s="5">
        <f>Table341011[[#This Row],[  60-64]]-Table3410111213[[#This Row],[  60-64]]</f>
        <v>11519</v>
      </c>
      <c r="O3" s="5">
        <f>Table341011[[#This Row],[  65-69]]-Table3410111213[[#This Row],[  65-69]]</f>
        <v>9588</v>
      </c>
      <c r="P3" s="5">
        <f>Table341011[[#This Row],[  70-74]]-Table3410111213[[#This Row],[  70-74]]</f>
        <v>7614</v>
      </c>
      <c r="Q3" s="5">
        <f>Table341011[[#This Row],[  75-79]]-Table3410111213[[#This Row],[  75-79]]</f>
        <v>5072</v>
      </c>
      <c r="R3" s="5">
        <f>Table341011[[#This Row],[  80-84]]-Table3410111213[[#This Row],[  80-84]]</f>
        <v>3488</v>
      </c>
      <c r="S3" s="5">
        <f>Table341011[[#This Row],[  85-89]]-Table3410111213[[#This Row],[  85-89]]</f>
        <v>1803</v>
      </c>
      <c r="T3" s="5">
        <f>Table341011[[#This Row],[  90+]]-Table3410111213[[#This Row],[  90+]]</f>
        <v>929</v>
      </c>
    </row>
    <row r="4" spans="1:20" x14ac:dyDescent="0.2">
      <c r="A4" s="9" t="s">
        <v>1</v>
      </c>
      <c r="B4" s="6" t="s">
        <v>23</v>
      </c>
      <c r="C4" s="5">
        <f>Table341011[[#This Row],[Total]]-Table3410111213[[#This Row],[Total]]</f>
        <v>202035</v>
      </c>
      <c r="D4" s="5">
        <f>Table341011[[#This Row],[  5-11]]-Table3410111213[[#This Row],[  5-11]]</f>
        <v>7191</v>
      </c>
      <c r="E4" s="5">
        <f>Table341011[[#This Row],[  12-17]]-Table3410111213[[#This Row],[  12-17]]</f>
        <v>13327</v>
      </c>
      <c r="F4" s="5">
        <f>Table341011[[#This Row],[  18-24]]-Table3410111213[[#This Row],[  18-24]]</f>
        <v>21402</v>
      </c>
      <c r="G4" s="5">
        <f>Table341011[[#This Row],[  25-29 ]]-Table3410111213[[#This Row],[  25-29 ]]</f>
        <v>20558</v>
      </c>
      <c r="H4" s="5">
        <f>Table341011[[#This Row],[  30-34]]-Table3410111213[[#This Row],[  30-34]]</f>
        <v>21163</v>
      </c>
      <c r="I4" s="5">
        <f>Table341011[[#This Row],[  35-39]]-Table3410111213[[#This Row],[  35-39]]</f>
        <v>17483</v>
      </c>
      <c r="J4" s="5">
        <f>Table341011[[#This Row],[  40-44]]-Table3410111213[[#This Row],[  40-44]]</f>
        <v>15198</v>
      </c>
      <c r="K4" s="5">
        <f>Table341011[[#This Row],[  45-49 ]]-Table3410111213[[#This Row],[  45-49 ]]</f>
        <v>14116</v>
      </c>
      <c r="L4" s="5">
        <f>Table341011[[#This Row],[  50-54]]-Table3410111213[[#This Row],[  50-54]]</f>
        <v>14563</v>
      </c>
      <c r="M4" s="5">
        <f>Table341011[[#This Row],[  55-59]]-Table3410111213[[#This Row],[  55-59]]</f>
        <v>13131</v>
      </c>
      <c r="N4" s="5">
        <f>Table341011[[#This Row],[  60-64]]-Table3410111213[[#This Row],[  60-64]]</f>
        <v>11627</v>
      </c>
      <c r="O4" s="5">
        <f>Table341011[[#This Row],[  65-69]]-Table3410111213[[#This Row],[  65-69]]</f>
        <v>9932</v>
      </c>
      <c r="P4" s="5">
        <f>Table341011[[#This Row],[  70-74]]-Table3410111213[[#This Row],[  70-74]]</f>
        <v>7869</v>
      </c>
      <c r="Q4" s="5">
        <f>Table341011[[#This Row],[  75-79]]-Table3410111213[[#This Row],[  75-79]]</f>
        <v>5936</v>
      </c>
      <c r="R4" s="5">
        <f>Table341011[[#This Row],[  80-84]]-Table3410111213[[#This Row],[  80-84]]</f>
        <v>4262</v>
      </c>
      <c r="S4" s="5">
        <f>Table341011[[#This Row],[  85-89]]-Table3410111213[[#This Row],[  85-89]]</f>
        <v>2471</v>
      </c>
      <c r="T4" s="5">
        <f>Table341011[[#This Row],[  90+]]-Table3410111213[[#This Row],[  90+]]</f>
        <v>1806</v>
      </c>
    </row>
    <row r="5" spans="1:20" ht="15" x14ac:dyDescent="0.2">
      <c r="A5" s="8" t="s">
        <v>2</v>
      </c>
      <c r="B5" s="6" t="s">
        <v>22</v>
      </c>
      <c r="C5" s="5">
        <f>Table341011[[#This Row],[Total]]-Table3410111213[[#This Row],[Total]]</f>
        <v>165621</v>
      </c>
      <c r="D5" s="5">
        <f>Table341011[[#This Row],[  5-11]]-Table3410111213[[#This Row],[  5-11]]</f>
        <v>3348</v>
      </c>
      <c r="E5" s="5">
        <f>Table341011[[#This Row],[  12-17]]-Table3410111213[[#This Row],[  12-17]]</f>
        <v>10738</v>
      </c>
      <c r="F5" s="5">
        <f>Table341011[[#This Row],[  18-24]]-Table3410111213[[#This Row],[  18-24]]</f>
        <v>11663</v>
      </c>
      <c r="G5" s="5">
        <f>Table341011[[#This Row],[  25-29 ]]-Table3410111213[[#This Row],[  25-29 ]]</f>
        <v>10837</v>
      </c>
      <c r="H5" s="5">
        <f>Table341011[[#This Row],[  30-34]]-Table3410111213[[#This Row],[  30-34]]</f>
        <v>12845</v>
      </c>
      <c r="I5" s="5">
        <f>Table341011[[#This Row],[  35-39]]-Table3410111213[[#This Row],[  35-39]]</f>
        <v>11863</v>
      </c>
      <c r="J5" s="5">
        <f>Table341011[[#This Row],[  40-44]]-Table3410111213[[#This Row],[  40-44]]</f>
        <v>10688</v>
      </c>
      <c r="K5" s="5">
        <f>Table341011[[#This Row],[  45-49 ]]-Table3410111213[[#This Row],[  45-49 ]]</f>
        <v>11189</v>
      </c>
      <c r="L5" s="5">
        <f>Table341011[[#This Row],[  50-54]]-Table3410111213[[#This Row],[  50-54]]</f>
        <v>12172</v>
      </c>
      <c r="M5" s="5">
        <f>Table341011[[#This Row],[  55-59]]-Table3410111213[[#This Row],[  55-59]]</f>
        <v>11894</v>
      </c>
      <c r="N5" s="5">
        <f>Table341011[[#This Row],[  60-64]]-Table3410111213[[#This Row],[  60-64]]</f>
        <v>12625</v>
      </c>
      <c r="O5" s="5">
        <f>Table341011[[#This Row],[  65-69]]-Table3410111213[[#This Row],[  65-69]]</f>
        <v>12126</v>
      </c>
      <c r="P5" s="5">
        <f>Table341011[[#This Row],[  70-74]]-Table3410111213[[#This Row],[  70-74]]</f>
        <v>11546</v>
      </c>
      <c r="Q5" s="5">
        <f>Table341011[[#This Row],[  75-79]]-Table3410111213[[#This Row],[  75-79]]</f>
        <v>9641</v>
      </c>
      <c r="R5" s="5">
        <f>Table341011[[#This Row],[  80-84]]-Table3410111213[[#This Row],[  80-84]]</f>
        <v>6911</v>
      </c>
      <c r="S5" s="5">
        <f>Table341011[[#This Row],[  85-89]]-Table3410111213[[#This Row],[  85-89]]</f>
        <v>3516</v>
      </c>
      <c r="T5" s="5">
        <f>Table341011[[#This Row],[  90+]]-Table3410111213[[#This Row],[  90+]]</f>
        <v>2019</v>
      </c>
    </row>
    <row r="6" spans="1:20" ht="15" x14ac:dyDescent="0.2">
      <c r="A6" s="8" t="s">
        <v>2</v>
      </c>
      <c r="B6" s="6" t="s">
        <v>0</v>
      </c>
      <c r="C6" s="5">
        <f>Table341011[[#This Row],[Total]]-Table3410111213[[#This Row],[Total]]</f>
        <v>81705</v>
      </c>
      <c r="D6" s="5">
        <f>Table341011[[#This Row],[  5-11]]-Table3410111213[[#This Row],[  5-11]]</f>
        <v>1719</v>
      </c>
      <c r="E6" s="5">
        <f>Table341011[[#This Row],[  12-17]]-Table3410111213[[#This Row],[  12-17]]</f>
        <v>5544</v>
      </c>
      <c r="F6" s="5">
        <f>Table341011[[#This Row],[  18-24]]-Table3410111213[[#This Row],[  18-24]]</f>
        <v>6383</v>
      </c>
      <c r="G6" s="5">
        <f>Table341011[[#This Row],[  25-29 ]]-Table3410111213[[#This Row],[  25-29 ]]</f>
        <v>5827</v>
      </c>
      <c r="H6" s="5">
        <f>Table341011[[#This Row],[  30-34]]-Table3410111213[[#This Row],[  30-34]]</f>
        <v>6418</v>
      </c>
      <c r="I6" s="5">
        <f>Table341011[[#This Row],[  35-39]]-Table3410111213[[#This Row],[  35-39]]</f>
        <v>5847</v>
      </c>
      <c r="J6" s="5">
        <f>Table341011[[#This Row],[  40-44]]-Table3410111213[[#This Row],[  40-44]]</f>
        <v>5318</v>
      </c>
      <c r="K6" s="5">
        <f>Table341011[[#This Row],[  45-49 ]]-Table3410111213[[#This Row],[  45-49 ]]</f>
        <v>5508</v>
      </c>
      <c r="L6" s="5">
        <f>Table341011[[#This Row],[  50-54]]-Table3410111213[[#This Row],[  50-54]]</f>
        <v>5916</v>
      </c>
      <c r="M6" s="5">
        <f>Table341011[[#This Row],[  55-59]]-Table3410111213[[#This Row],[  55-59]]</f>
        <v>5715</v>
      </c>
      <c r="N6" s="5">
        <f>Table341011[[#This Row],[  60-64]]-Table3410111213[[#This Row],[  60-64]]</f>
        <v>6066</v>
      </c>
      <c r="O6" s="5">
        <f>Table341011[[#This Row],[  65-69]]-Table3410111213[[#This Row],[  65-69]]</f>
        <v>5832</v>
      </c>
      <c r="P6" s="5">
        <f>Table341011[[#This Row],[  70-74]]-Table3410111213[[#This Row],[  70-74]]</f>
        <v>5541</v>
      </c>
      <c r="Q6" s="5">
        <f>Table341011[[#This Row],[  75-79]]-Table3410111213[[#This Row],[  75-79]]</f>
        <v>4607</v>
      </c>
      <c r="R6" s="5">
        <f>Table341011[[#This Row],[  80-84]]-Table3410111213[[#This Row],[  80-84]]</f>
        <v>3175</v>
      </c>
      <c r="S6" s="5">
        <f>Table341011[[#This Row],[  85-89]]-Table3410111213[[#This Row],[  85-89]]</f>
        <v>1531</v>
      </c>
      <c r="T6" s="5">
        <f>Table341011[[#This Row],[  90+]]-Table3410111213[[#This Row],[  90+]]</f>
        <v>758</v>
      </c>
    </row>
    <row r="7" spans="1:20" ht="15" x14ac:dyDescent="0.2">
      <c r="A7" s="8" t="s">
        <v>2</v>
      </c>
      <c r="B7" s="6" t="s">
        <v>23</v>
      </c>
      <c r="C7" s="5">
        <f>Table341011[[#This Row],[Total]]-Table3410111213[[#This Row],[Total]]</f>
        <v>83916</v>
      </c>
      <c r="D7" s="5">
        <f>Table341011[[#This Row],[  5-11]]-Table3410111213[[#This Row],[  5-11]]</f>
        <v>1629</v>
      </c>
      <c r="E7" s="5">
        <f>Table341011[[#This Row],[  12-17]]-Table3410111213[[#This Row],[  12-17]]</f>
        <v>5194</v>
      </c>
      <c r="F7" s="5">
        <f>Table341011[[#This Row],[  18-24]]-Table3410111213[[#This Row],[  18-24]]</f>
        <v>5280</v>
      </c>
      <c r="G7" s="5">
        <f>Table341011[[#This Row],[  25-29 ]]-Table3410111213[[#This Row],[  25-29 ]]</f>
        <v>5010</v>
      </c>
      <c r="H7" s="5">
        <f>Table341011[[#This Row],[  30-34]]-Table3410111213[[#This Row],[  30-34]]</f>
        <v>6427</v>
      </c>
      <c r="I7" s="5">
        <f>Table341011[[#This Row],[  35-39]]-Table3410111213[[#This Row],[  35-39]]</f>
        <v>6016</v>
      </c>
      <c r="J7" s="5">
        <f>Table341011[[#This Row],[  40-44]]-Table3410111213[[#This Row],[  40-44]]</f>
        <v>5370</v>
      </c>
      <c r="K7" s="5">
        <f>Table341011[[#This Row],[  45-49 ]]-Table3410111213[[#This Row],[  45-49 ]]</f>
        <v>5681</v>
      </c>
      <c r="L7" s="5">
        <f>Table341011[[#This Row],[  50-54]]-Table3410111213[[#This Row],[  50-54]]</f>
        <v>6256</v>
      </c>
      <c r="M7" s="5">
        <f>Table341011[[#This Row],[  55-59]]-Table3410111213[[#This Row],[  55-59]]</f>
        <v>6179</v>
      </c>
      <c r="N7" s="5">
        <f>Table341011[[#This Row],[  60-64]]-Table3410111213[[#This Row],[  60-64]]</f>
        <v>6559</v>
      </c>
      <c r="O7" s="5">
        <f>Table341011[[#This Row],[  65-69]]-Table3410111213[[#This Row],[  65-69]]</f>
        <v>6294</v>
      </c>
      <c r="P7" s="5">
        <f>Table341011[[#This Row],[  70-74]]-Table3410111213[[#This Row],[  70-74]]</f>
        <v>6005</v>
      </c>
      <c r="Q7" s="5">
        <f>Table341011[[#This Row],[  75-79]]-Table3410111213[[#This Row],[  75-79]]</f>
        <v>5034</v>
      </c>
      <c r="R7" s="5">
        <f>Table341011[[#This Row],[  80-84]]-Table3410111213[[#This Row],[  80-84]]</f>
        <v>3736</v>
      </c>
      <c r="S7" s="5">
        <f>Table341011[[#This Row],[  85-89]]-Table3410111213[[#This Row],[  85-89]]</f>
        <v>1985</v>
      </c>
      <c r="T7" s="5">
        <f>Table341011[[#This Row],[  90+]]-Table3410111213[[#This Row],[  90+]]</f>
        <v>1261</v>
      </c>
    </row>
    <row r="8" spans="1:20" x14ac:dyDescent="0.2">
      <c r="A8" s="9" t="s">
        <v>3</v>
      </c>
      <c r="B8" s="6" t="s">
        <v>22</v>
      </c>
      <c r="C8" s="5">
        <f>Table341011[[#This Row],[Total]]-Table3410111213[[#This Row],[Total]]</f>
        <v>458997</v>
      </c>
      <c r="D8" s="5">
        <f>Table341011[[#This Row],[  5-11]]-Table3410111213[[#This Row],[  5-11]]</f>
        <v>15061</v>
      </c>
      <c r="E8" s="5">
        <f>Table341011[[#This Row],[  12-17]]-Table3410111213[[#This Row],[  12-17]]</f>
        <v>32092</v>
      </c>
      <c r="F8" s="5">
        <f>Table341011[[#This Row],[  18-24]]-Table3410111213[[#This Row],[  18-24]]</f>
        <v>44952</v>
      </c>
      <c r="G8" s="5">
        <f>Table341011[[#This Row],[  25-29 ]]-Table3410111213[[#This Row],[  25-29 ]]</f>
        <v>34706</v>
      </c>
      <c r="H8" s="5">
        <f>Table341011[[#This Row],[  30-34]]-Table3410111213[[#This Row],[  30-34]]</f>
        <v>39341</v>
      </c>
      <c r="I8" s="5">
        <f>Table341011[[#This Row],[  35-39]]-Table3410111213[[#This Row],[  35-39]]</f>
        <v>35261</v>
      </c>
      <c r="J8" s="5">
        <f>Table341011[[#This Row],[  40-44]]-Table3410111213[[#This Row],[  40-44]]</f>
        <v>32276</v>
      </c>
      <c r="K8" s="5">
        <f>Table341011[[#This Row],[  45-49 ]]-Table3410111213[[#This Row],[  45-49 ]]</f>
        <v>31935</v>
      </c>
      <c r="L8" s="5">
        <f>Table341011[[#This Row],[  50-54]]-Table3410111213[[#This Row],[  50-54]]</f>
        <v>35186</v>
      </c>
      <c r="M8" s="5">
        <f>Table341011[[#This Row],[  55-59]]-Table3410111213[[#This Row],[  55-59]]</f>
        <v>33012</v>
      </c>
      <c r="N8" s="5">
        <f>Table341011[[#This Row],[  60-64]]-Table3410111213[[#This Row],[  60-64]]</f>
        <v>32338</v>
      </c>
      <c r="O8" s="5">
        <f>Table341011[[#This Row],[  65-69]]-Table3410111213[[#This Row],[  65-69]]</f>
        <v>27732</v>
      </c>
      <c r="P8" s="5">
        <f>Table341011[[#This Row],[  70-74]]-Table3410111213[[#This Row],[  70-74]]</f>
        <v>23917</v>
      </c>
      <c r="Q8" s="5">
        <f>Table341011[[#This Row],[  75-79]]-Table3410111213[[#This Row],[  75-79]]</f>
        <v>17992</v>
      </c>
      <c r="R8" s="5">
        <f>Table341011[[#This Row],[  80-84]]-Table3410111213[[#This Row],[  80-84]]</f>
        <v>12307</v>
      </c>
      <c r="S8" s="5">
        <f>Table341011[[#This Row],[  85-89]]-Table3410111213[[#This Row],[  85-89]]</f>
        <v>6781</v>
      </c>
      <c r="T8" s="5">
        <f>Table341011[[#This Row],[  90+]]-Table3410111213[[#This Row],[  90+]]</f>
        <v>4108</v>
      </c>
    </row>
    <row r="9" spans="1:20" x14ac:dyDescent="0.2">
      <c r="A9" s="9" t="s">
        <v>3</v>
      </c>
      <c r="B9" s="6" t="s">
        <v>0</v>
      </c>
      <c r="C9" s="5">
        <f>Table341011[[#This Row],[Total]]-Table3410111213[[#This Row],[Total]]</f>
        <v>227301</v>
      </c>
      <c r="D9" s="5">
        <f>Table341011[[#This Row],[  5-11]]-Table3410111213[[#This Row],[  5-11]]</f>
        <v>7638</v>
      </c>
      <c r="E9" s="5">
        <f>Table341011[[#This Row],[  12-17]]-Table3410111213[[#This Row],[  12-17]]</f>
        <v>16451</v>
      </c>
      <c r="F9" s="5">
        <f>Table341011[[#This Row],[  18-24]]-Table3410111213[[#This Row],[  18-24]]</f>
        <v>23443</v>
      </c>
      <c r="G9" s="5">
        <f>Table341011[[#This Row],[  25-29 ]]-Table3410111213[[#This Row],[  25-29 ]]</f>
        <v>17909</v>
      </c>
      <c r="H9" s="5">
        <f>Table341011[[#This Row],[  30-34]]-Table3410111213[[#This Row],[  30-34]]</f>
        <v>19692</v>
      </c>
      <c r="I9" s="5">
        <f>Table341011[[#This Row],[  35-39]]-Table3410111213[[#This Row],[  35-39]]</f>
        <v>17797</v>
      </c>
      <c r="J9" s="5">
        <f>Table341011[[#This Row],[  40-44]]-Table3410111213[[#This Row],[  40-44]]</f>
        <v>16013</v>
      </c>
      <c r="K9" s="5">
        <f>Table341011[[#This Row],[  45-49 ]]-Table3410111213[[#This Row],[  45-49 ]]</f>
        <v>15683</v>
      </c>
      <c r="L9" s="5">
        <f>Table341011[[#This Row],[  50-54]]-Table3410111213[[#This Row],[  50-54]]</f>
        <v>17319</v>
      </c>
      <c r="M9" s="5">
        <f>Table341011[[#This Row],[  55-59]]-Table3410111213[[#This Row],[  55-59]]</f>
        <v>16262</v>
      </c>
      <c r="N9" s="5">
        <f>Table341011[[#This Row],[  60-64]]-Table3410111213[[#This Row],[  60-64]]</f>
        <v>15889</v>
      </c>
      <c r="O9" s="5">
        <f>Table341011[[#This Row],[  65-69]]-Table3410111213[[#This Row],[  65-69]]</f>
        <v>13503</v>
      </c>
      <c r="P9" s="5">
        <f>Table341011[[#This Row],[  70-74]]-Table3410111213[[#This Row],[  70-74]]</f>
        <v>11562</v>
      </c>
      <c r="Q9" s="5">
        <f>Table341011[[#This Row],[  75-79]]-Table3410111213[[#This Row],[  75-79]]</f>
        <v>8415</v>
      </c>
      <c r="R9" s="5">
        <f>Table341011[[#This Row],[  80-84]]-Table3410111213[[#This Row],[  80-84]]</f>
        <v>5498</v>
      </c>
      <c r="S9" s="5">
        <f>Table341011[[#This Row],[  85-89]]-Table3410111213[[#This Row],[  85-89]]</f>
        <v>2797</v>
      </c>
      <c r="T9" s="5">
        <f>Table341011[[#This Row],[  90+]]-Table3410111213[[#This Row],[  90+]]</f>
        <v>1430</v>
      </c>
    </row>
    <row r="10" spans="1:20" x14ac:dyDescent="0.2">
      <c r="A10" s="9" t="s">
        <v>3</v>
      </c>
      <c r="B10" s="6" t="s">
        <v>23</v>
      </c>
      <c r="C10" s="5">
        <f>Table341011[[#This Row],[Total]]-Table3410111213[[#This Row],[Total]]</f>
        <v>231696</v>
      </c>
      <c r="D10" s="5">
        <f>Table341011[[#This Row],[  5-11]]-Table3410111213[[#This Row],[  5-11]]</f>
        <v>7423</v>
      </c>
      <c r="E10" s="5">
        <f>Table341011[[#This Row],[  12-17]]-Table3410111213[[#This Row],[  12-17]]</f>
        <v>15641</v>
      </c>
      <c r="F10" s="5">
        <f>Table341011[[#This Row],[  18-24]]-Table3410111213[[#This Row],[  18-24]]</f>
        <v>21509</v>
      </c>
      <c r="G10" s="5">
        <f>Table341011[[#This Row],[  25-29 ]]-Table3410111213[[#This Row],[  25-29 ]]</f>
        <v>16797</v>
      </c>
      <c r="H10" s="5">
        <f>Table341011[[#This Row],[  30-34]]-Table3410111213[[#This Row],[  30-34]]</f>
        <v>19649</v>
      </c>
      <c r="I10" s="5">
        <f>Table341011[[#This Row],[  35-39]]-Table3410111213[[#This Row],[  35-39]]</f>
        <v>17464</v>
      </c>
      <c r="J10" s="5">
        <f>Table341011[[#This Row],[  40-44]]-Table3410111213[[#This Row],[  40-44]]</f>
        <v>16263</v>
      </c>
      <c r="K10" s="5">
        <f>Table341011[[#This Row],[  45-49 ]]-Table3410111213[[#This Row],[  45-49 ]]</f>
        <v>16252</v>
      </c>
      <c r="L10" s="5">
        <f>Table341011[[#This Row],[  50-54]]-Table3410111213[[#This Row],[  50-54]]</f>
        <v>17867</v>
      </c>
      <c r="M10" s="5">
        <f>Table341011[[#This Row],[  55-59]]-Table3410111213[[#This Row],[  55-59]]</f>
        <v>16750</v>
      </c>
      <c r="N10" s="5">
        <f>Table341011[[#This Row],[  60-64]]-Table3410111213[[#This Row],[  60-64]]</f>
        <v>16449</v>
      </c>
      <c r="O10" s="5">
        <f>Table341011[[#This Row],[  65-69]]-Table3410111213[[#This Row],[  65-69]]</f>
        <v>14229</v>
      </c>
      <c r="P10" s="5">
        <f>Table341011[[#This Row],[  70-74]]-Table3410111213[[#This Row],[  70-74]]</f>
        <v>12355</v>
      </c>
      <c r="Q10" s="5">
        <f>Table341011[[#This Row],[  75-79]]-Table3410111213[[#This Row],[  75-79]]</f>
        <v>9577</v>
      </c>
      <c r="R10" s="5">
        <f>Table341011[[#This Row],[  80-84]]-Table3410111213[[#This Row],[  80-84]]</f>
        <v>6809</v>
      </c>
      <c r="S10" s="5">
        <f>Table341011[[#This Row],[  85-89]]-Table3410111213[[#This Row],[  85-89]]</f>
        <v>3984</v>
      </c>
      <c r="T10" s="5">
        <f>Table341011[[#This Row],[  90+]]-Table3410111213[[#This Row],[  90+]]</f>
        <v>2678</v>
      </c>
    </row>
    <row r="11" spans="1:20" x14ac:dyDescent="0.2">
      <c r="A11" s="9" t="s">
        <v>4</v>
      </c>
      <c r="B11" s="6" t="s">
        <v>22</v>
      </c>
      <c r="C11" s="5">
        <f>Table341011[[#This Row],[Total]]-Table3410111213[[#This Row],[Total]]</f>
        <v>249614</v>
      </c>
      <c r="D11" s="5">
        <f>Table341011[[#This Row],[  5-11]]-Table3410111213[[#This Row],[  5-11]]</f>
        <v>10268</v>
      </c>
      <c r="E11" s="5">
        <f>Table341011[[#This Row],[  12-17]]-Table3410111213[[#This Row],[  12-17]]</f>
        <v>17442</v>
      </c>
      <c r="F11" s="5">
        <f>Table341011[[#This Row],[  18-24]]-Table3410111213[[#This Row],[  18-24]]</f>
        <v>27399</v>
      </c>
      <c r="G11" s="5">
        <f>Table341011[[#This Row],[  25-29 ]]-Table3410111213[[#This Row],[  25-29 ]]</f>
        <v>22531</v>
      </c>
      <c r="H11" s="5">
        <f>Table341011[[#This Row],[  30-34]]-Table3410111213[[#This Row],[  30-34]]</f>
        <v>22364</v>
      </c>
      <c r="I11" s="5">
        <f>Table341011[[#This Row],[  35-39]]-Table3410111213[[#This Row],[  35-39]]</f>
        <v>19496</v>
      </c>
      <c r="J11" s="5">
        <f>Table341011[[#This Row],[  40-44]]-Table3410111213[[#This Row],[  40-44]]</f>
        <v>18560</v>
      </c>
      <c r="K11" s="5">
        <f>Table341011[[#This Row],[  45-49 ]]-Table3410111213[[#This Row],[  45-49 ]]</f>
        <v>18304</v>
      </c>
      <c r="L11" s="5">
        <f>Table341011[[#This Row],[  50-54]]-Table3410111213[[#This Row],[  50-54]]</f>
        <v>18765</v>
      </c>
      <c r="M11" s="5">
        <f>Table341011[[#This Row],[  55-59]]-Table3410111213[[#This Row],[  55-59]]</f>
        <v>17499</v>
      </c>
      <c r="N11" s="5">
        <f>Table341011[[#This Row],[  60-64]]-Table3410111213[[#This Row],[  60-64]]</f>
        <v>15426</v>
      </c>
      <c r="O11" s="5">
        <f>Table341011[[#This Row],[  65-69]]-Table3410111213[[#This Row],[  65-69]]</f>
        <v>12278</v>
      </c>
      <c r="P11" s="5">
        <f>Table341011[[#This Row],[  70-74]]-Table3410111213[[#This Row],[  70-74]]</f>
        <v>10619</v>
      </c>
      <c r="Q11" s="5">
        <f>Table341011[[#This Row],[  75-79]]-Table3410111213[[#This Row],[  75-79]]</f>
        <v>8313</v>
      </c>
      <c r="R11" s="5">
        <f>Table341011[[#This Row],[  80-84]]-Table3410111213[[#This Row],[  80-84]]</f>
        <v>5549</v>
      </c>
      <c r="S11" s="5">
        <f>Table341011[[#This Row],[  85-89]]-Table3410111213[[#This Row],[  85-89]]</f>
        <v>3011</v>
      </c>
      <c r="T11" s="5">
        <f>Table341011[[#This Row],[  90+]]-Table3410111213[[#This Row],[  90+]]</f>
        <v>1790</v>
      </c>
    </row>
    <row r="12" spans="1:20" x14ac:dyDescent="0.2">
      <c r="A12" s="9" t="s">
        <v>4</v>
      </c>
      <c r="B12" s="6" t="s">
        <v>0</v>
      </c>
      <c r="C12" s="5">
        <f>Table341011[[#This Row],[Total]]-Table3410111213[[#This Row],[Total]]</f>
        <v>121218</v>
      </c>
      <c r="D12" s="5">
        <f>Table341011[[#This Row],[  5-11]]-Table3410111213[[#This Row],[  5-11]]</f>
        <v>5193</v>
      </c>
      <c r="E12" s="5">
        <f>Table341011[[#This Row],[  12-17]]-Table3410111213[[#This Row],[  12-17]]</f>
        <v>8850</v>
      </c>
      <c r="F12" s="5">
        <f>Table341011[[#This Row],[  18-24]]-Table3410111213[[#This Row],[  18-24]]</f>
        <v>12981</v>
      </c>
      <c r="G12" s="5">
        <f>Table341011[[#This Row],[  25-29 ]]-Table3410111213[[#This Row],[  25-29 ]]</f>
        <v>11208</v>
      </c>
      <c r="H12" s="5">
        <f>Table341011[[#This Row],[  30-34]]-Table3410111213[[#This Row],[  30-34]]</f>
        <v>11031</v>
      </c>
      <c r="I12" s="5">
        <f>Table341011[[#This Row],[  35-39]]-Table3410111213[[#This Row],[  35-39]]</f>
        <v>9557</v>
      </c>
      <c r="J12" s="5">
        <f>Table341011[[#This Row],[  40-44]]-Table3410111213[[#This Row],[  40-44]]</f>
        <v>9149</v>
      </c>
      <c r="K12" s="5">
        <f>Table341011[[#This Row],[  45-49 ]]-Table3410111213[[#This Row],[  45-49 ]]</f>
        <v>9001</v>
      </c>
      <c r="L12" s="5">
        <f>Table341011[[#This Row],[  50-54]]-Table3410111213[[#This Row],[  50-54]]</f>
        <v>9054</v>
      </c>
      <c r="M12" s="5">
        <f>Table341011[[#This Row],[  55-59]]-Table3410111213[[#This Row],[  55-59]]</f>
        <v>8542</v>
      </c>
      <c r="N12" s="5">
        <f>Table341011[[#This Row],[  60-64]]-Table3410111213[[#This Row],[  60-64]]</f>
        <v>7562</v>
      </c>
      <c r="O12" s="5">
        <f>Table341011[[#This Row],[  65-69]]-Table3410111213[[#This Row],[  65-69]]</f>
        <v>5879</v>
      </c>
      <c r="P12" s="5">
        <f>Table341011[[#This Row],[  70-74]]-Table3410111213[[#This Row],[  70-74]]</f>
        <v>5032</v>
      </c>
      <c r="Q12" s="5">
        <f>Table341011[[#This Row],[  75-79]]-Table3410111213[[#This Row],[  75-79]]</f>
        <v>3913</v>
      </c>
      <c r="R12" s="5">
        <f>Table341011[[#This Row],[  80-84]]-Table3410111213[[#This Row],[  80-84]]</f>
        <v>2435</v>
      </c>
      <c r="S12" s="5">
        <f>Table341011[[#This Row],[  85-89]]-Table3410111213[[#This Row],[  85-89]]</f>
        <v>1200</v>
      </c>
      <c r="T12" s="5">
        <f>Table341011[[#This Row],[  90+]]-Table3410111213[[#This Row],[  90+]]</f>
        <v>631</v>
      </c>
    </row>
    <row r="13" spans="1:20" x14ac:dyDescent="0.2">
      <c r="A13" s="9" t="s">
        <v>4</v>
      </c>
      <c r="B13" s="6" t="s">
        <v>23</v>
      </c>
      <c r="C13" s="5">
        <f>Table341011[[#This Row],[Total]]-Table3410111213[[#This Row],[Total]]</f>
        <v>128396</v>
      </c>
      <c r="D13" s="5">
        <f>Table341011[[#This Row],[  5-11]]-Table3410111213[[#This Row],[  5-11]]</f>
        <v>5075</v>
      </c>
      <c r="E13" s="5">
        <f>Table341011[[#This Row],[  12-17]]-Table3410111213[[#This Row],[  12-17]]</f>
        <v>8592</v>
      </c>
      <c r="F13" s="5">
        <f>Table341011[[#This Row],[  18-24]]-Table3410111213[[#This Row],[  18-24]]</f>
        <v>14418</v>
      </c>
      <c r="G13" s="5">
        <f>Table341011[[#This Row],[  25-29 ]]-Table3410111213[[#This Row],[  25-29 ]]</f>
        <v>11323</v>
      </c>
      <c r="H13" s="5">
        <f>Table341011[[#This Row],[  30-34]]-Table3410111213[[#This Row],[  30-34]]</f>
        <v>11333</v>
      </c>
      <c r="I13" s="5">
        <f>Table341011[[#This Row],[  35-39]]-Table3410111213[[#This Row],[  35-39]]</f>
        <v>9939</v>
      </c>
      <c r="J13" s="5">
        <f>Table341011[[#This Row],[  40-44]]-Table3410111213[[#This Row],[  40-44]]</f>
        <v>9411</v>
      </c>
      <c r="K13" s="5">
        <f>Table341011[[#This Row],[  45-49 ]]-Table3410111213[[#This Row],[  45-49 ]]</f>
        <v>9303</v>
      </c>
      <c r="L13" s="5">
        <f>Table341011[[#This Row],[  50-54]]-Table3410111213[[#This Row],[  50-54]]</f>
        <v>9711</v>
      </c>
      <c r="M13" s="5">
        <f>Table341011[[#This Row],[  55-59]]-Table3410111213[[#This Row],[  55-59]]</f>
        <v>8957</v>
      </c>
      <c r="N13" s="5">
        <f>Table341011[[#This Row],[  60-64]]-Table3410111213[[#This Row],[  60-64]]</f>
        <v>7864</v>
      </c>
      <c r="O13" s="5">
        <f>Table341011[[#This Row],[  65-69]]-Table3410111213[[#This Row],[  65-69]]</f>
        <v>6399</v>
      </c>
      <c r="P13" s="5">
        <f>Table341011[[#This Row],[  70-74]]-Table3410111213[[#This Row],[  70-74]]</f>
        <v>5587</v>
      </c>
      <c r="Q13" s="5">
        <f>Table341011[[#This Row],[  75-79]]-Table3410111213[[#This Row],[  75-79]]</f>
        <v>4400</v>
      </c>
      <c r="R13" s="5">
        <f>Table341011[[#This Row],[  80-84]]-Table3410111213[[#This Row],[  80-84]]</f>
        <v>3114</v>
      </c>
      <c r="S13" s="5">
        <f>Table341011[[#This Row],[  85-89]]-Table3410111213[[#This Row],[  85-89]]</f>
        <v>1811</v>
      </c>
      <c r="T13" s="5">
        <f>Table341011[[#This Row],[  90+]]-Table3410111213[[#This Row],[  90+]]</f>
        <v>1159</v>
      </c>
    </row>
    <row r="14" spans="1:20" x14ac:dyDescent="0.2">
      <c r="A14" s="9" t="s">
        <v>5</v>
      </c>
      <c r="B14" s="6" t="s">
        <v>22</v>
      </c>
      <c r="C14" s="5">
        <f>Table341011[[#This Row],[Total]]-Table3410111213[[#This Row],[Total]]</f>
        <v>421132</v>
      </c>
      <c r="D14" s="5">
        <f>Table341011[[#This Row],[  5-11]]-Table3410111213[[#This Row],[  5-11]]</f>
        <v>16522</v>
      </c>
      <c r="E14" s="5">
        <f>Table341011[[#This Row],[  12-17]]-Table3410111213[[#This Row],[  12-17]]</f>
        <v>35563</v>
      </c>
      <c r="F14" s="5">
        <f>Table341011[[#This Row],[  18-24]]-Table3410111213[[#This Row],[  18-24]]</f>
        <v>43880</v>
      </c>
      <c r="G14" s="5">
        <f>Table341011[[#This Row],[  25-29 ]]-Table3410111213[[#This Row],[  25-29 ]]</f>
        <v>35911</v>
      </c>
      <c r="H14" s="5">
        <f>Table341011[[#This Row],[  30-34]]-Table3410111213[[#This Row],[  30-34]]</f>
        <v>40431</v>
      </c>
      <c r="I14" s="5">
        <f>Table341011[[#This Row],[  35-39]]-Table3410111213[[#This Row],[  35-39]]</f>
        <v>36986</v>
      </c>
      <c r="J14" s="5">
        <f>Table341011[[#This Row],[  40-44]]-Table3410111213[[#This Row],[  40-44]]</f>
        <v>33270</v>
      </c>
      <c r="K14" s="5">
        <f>Table341011[[#This Row],[  45-49 ]]-Table3410111213[[#This Row],[  45-49 ]]</f>
        <v>29701</v>
      </c>
      <c r="L14" s="5">
        <f>Table341011[[#This Row],[  50-54]]-Table3410111213[[#This Row],[  50-54]]</f>
        <v>30637</v>
      </c>
      <c r="M14" s="5">
        <f>Table341011[[#This Row],[  55-59]]-Table3410111213[[#This Row],[  55-59]]</f>
        <v>28392</v>
      </c>
      <c r="N14" s="5">
        <f>Table341011[[#This Row],[  60-64]]-Table3410111213[[#This Row],[  60-64]]</f>
        <v>25525</v>
      </c>
      <c r="O14" s="5">
        <f>Table341011[[#This Row],[  65-69]]-Table3410111213[[#This Row],[  65-69]]</f>
        <v>20950</v>
      </c>
      <c r="P14" s="5">
        <f>Table341011[[#This Row],[  70-74]]-Table3410111213[[#This Row],[  70-74]]</f>
        <v>16893</v>
      </c>
      <c r="Q14" s="5">
        <f>Table341011[[#This Row],[  75-79]]-Table3410111213[[#This Row],[  75-79]]</f>
        <v>12153</v>
      </c>
      <c r="R14" s="5">
        <f>Table341011[[#This Row],[  80-84]]-Table3410111213[[#This Row],[  80-84]]</f>
        <v>8031</v>
      </c>
      <c r="S14" s="5">
        <f>Table341011[[#This Row],[  85-89]]-Table3410111213[[#This Row],[  85-89]]</f>
        <v>4151</v>
      </c>
      <c r="T14" s="5">
        <f>Table341011[[#This Row],[  90+]]-Table3410111213[[#This Row],[  90+]]</f>
        <v>2136</v>
      </c>
    </row>
    <row r="15" spans="1:20" x14ac:dyDescent="0.2">
      <c r="A15" s="9" t="s">
        <v>5</v>
      </c>
      <c r="B15" s="6" t="s">
        <v>0</v>
      </c>
      <c r="C15" s="5">
        <f>Table341011[[#This Row],[Total]]-Table3410111213[[#This Row],[Total]]</f>
        <v>210894</v>
      </c>
      <c r="D15" s="5">
        <f>Table341011[[#This Row],[  5-11]]-Table3410111213[[#This Row],[  5-11]]</f>
        <v>8333</v>
      </c>
      <c r="E15" s="5">
        <f>Table341011[[#This Row],[  12-17]]-Table3410111213[[#This Row],[  12-17]]</f>
        <v>18187</v>
      </c>
      <c r="F15" s="5">
        <f>Table341011[[#This Row],[  18-24]]-Table3410111213[[#This Row],[  18-24]]</f>
        <v>22777</v>
      </c>
      <c r="G15" s="5">
        <f>Table341011[[#This Row],[  25-29 ]]-Table3410111213[[#This Row],[  25-29 ]]</f>
        <v>18628</v>
      </c>
      <c r="H15" s="5">
        <f>Table341011[[#This Row],[  30-34]]-Table3410111213[[#This Row],[  30-34]]</f>
        <v>20341</v>
      </c>
      <c r="I15" s="5">
        <f>Table341011[[#This Row],[  35-39]]-Table3410111213[[#This Row],[  35-39]]</f>
        <v>18570</v>
      </c>
      <c r="J15" s="5">
        <f>Table341011[[#This Row],[  40-44]]-Table3410111213[[#This Row],[  40-44]]</f>
        <v>16810</v>
      </c>
      <c r="K15" s="5">
        <f>Table341011[[#This Row],[  45-49 ]]-Table3410111213[[#This Row],[  45-49 ]]</f>
        <v>14731</v>
      </c>
      <c r="L15" s="5">
        <f>Table341011[[#This Row],[  50-54]]-Table3410111213[[#This Row],[  50-54]]</f>
        <v>15238</v>
      </c>
      <c r="M15" s="5">
        <f>Table341011[[#This Row],[  55-59]]-Table3410111213[[#This Row],[  55-59]]</f>
        <v>14290</v>
      </c>
      <c r="N15" s="5">
        <f>Table341011[[#This Row],[  60-64]]-Table3410111213[[#This Row],[  60-64]]</f>
        <v>12601</v>
      </c>
      <c r="O15" s="5">
        <f>Table341011[[#This Row],[  65-69]]-Table3410111213[[#This Row],[  65-69]]</f>
        <v>10265</v>
      </c>
      <c r="P15" s="5">
        <f>Table341011[[#This Row],[  70-74]]-Table3410111213[[#This Row],[  70-74]]</f>
        <v>8252</v>
      </c>
      <c r="Q15" s="5">
        <f>Table341011[[#This Row],[  75-79]]-Table3410111213[[#This Row],[  75-79]]</f>
        <v>5741</v>
      </c>
      <c r="R15" s="5">
        <f>Table341011[[#This Row],[  80-84]]-Table3410111213[[#This Row],[  80-84]]</f>
        <v>3641</v>
      </c>
      <c r="S15" s="5">
        <f>Table341011[[#This Row],[  85-89]]-Table3410111213[[#This Row],[  85-89]]</f>
        <v>1746</v>
      </c>
      <c r="T15" s="5">
        <f>Table341011[[#This Row],[  90+]]-Table3410111213[[#This Row],[  90+]]</f>
        <v>743</v>
      </c>
    </row>
    <row r="16" spans="1:20" x14ac:dyDescent="0.2">
      <c r="A16" s="9" t="s">
        <v>5</v>
      </c>
      <c r="B16" s="6" t="s">
        <v>23</v>
      </c>
      <c r="C16" s="5">
        <f>Table341011[[#This Row],[Total]]-Table3410111213[[#This Row],[Total]]</f>
        <v>210238</v>
      </c>
      <c r="D16" s="5">
        <f>Table341011[[#This Row],[  5-11]]-Table3410111213[[#This Row],[  5-11]]</f>
        <v>8189</v>
      </c>
      <c r="E16" s="5">
        <f>Table341011[[#This Row],[  12-17]]-Table3410111213[[#This Row],[  12-17]]</f>
        <v>17376</v>
      </c>
      <c r="F16" s="5">
        <f>Table341011[[#This Row],[  18-24]]-Table3410111213[[#This Row],[  18-24]]</f>
        <v>21103</v>
      </c>
      <c r="G16" s="5">
        <f>Table341011[[#This Row],[  25-29 ]]-Table3410111213[[#This Row],[  25-29 ]]</f>
        <v>17283</v>
      </c>
      <c r="H16" s="5">
        <f>Table341011[[#This Row],[  30-34]]-Table3410111213[[#This Row],[  30-34]]</f>
        <v>20090</v>
      </c>
      <c r="I16" s="5">
        <f>Table341011[[#This Row],[  35-39]]-Table3410111213[[#This Row],[  35-39]]</f>
        <v>18416</v>
      </c>
      <c r="J16" s="5">
        <f>Table341011[[#This Row],[  40-44]]-Table3410111213[[#This Row],[  40-44]]</f>
        <v>16460</v>
      </c>
      <c r="K16" s="5">
        <f>Table341011[[#This Row],[  45-49 ]]-Table3410111213[[#This Row],[  45-49 ]]</f>
        <v>14970</v>
      </c>
      <c r="L16" s="5">
        <f>Table341011[[#This Row],[  50-54]]-Table3410111213[[#This Row],[  50-54]]</f>
        <v>15399</v>
      </c>
      <c r="M16" s="5">
        <f>Table341011[[#This Row],[  55-59]]-Table3410111213[[#This Row],[  55-59]]</f>
        <v>14102</v>
      </c>
      <c r="N16" s="5">
        <f>Table341011[[#This Row],[  60-64]]-Table3410111213[[#This Row],[  60-64]]</f>
        <v>12924</v>
      </c>
      <c r="O16" s="5">
        <f>Table341011[[#This Row],[  65-69]]-Table3410111213[[#This Row],[  65-69]]</f>
        <v>10685</v>
      </c>
      <c r="P16" s="5">
        <f>Table341011[[#This Row],[  70-74]]-Table3410111213[[#This Row],[  70-74]]</f>
        <v>8641</v>
      </c>
      <c r="Q16" s="5">
        <f>Table341011[[#This Row],[  75-79]]-Table3410111213[[#This Row],[  75-79]]</f>
        <v>6412</v>
      </c>
      <c r="R16" s="5">
        <f>Table341011[[#This Row],[  80-84]]-Table3410111213[[#This Row],[  80-84]]</f>
        <v>4390</v>
      </c>
      <c r="S16" s="5">
        <f>Table341011[[#This Row],[  85-89]]-Table3410111213[[#This Row],[  85-89]]</f>
        <v>2405</v>
      </c>
      <c r="T16" s="5">
        <f>Table341011[[#This Row],[  90+]]-Table3410111213[[#This Row],[  90+]]</f>
        <v>1393</v>
      </c>
    </row>
    <row r="17" spans="1:20" x14ac:dyDescent="0.2">
      <c r="A17" s="12" t="s">
        <v>6</v>
      </c>
      <c r="B17" s="6" t="s">
        <v>22</v>
      </c>
      <c r="C17" s="5">
        <f>Table341011[[#This Row],[Total]]-Table3410111213[[#This Row],[Total]]</f>
        <v>112193</v>
      </c>
      <c r="D17" s="5">
        <f>Table341011[[#This Row],[  5-11]]-Table3410111213[[#This Row],[  5-11]]</f>
        <v>2678</v>
      </c>
      <c r="E17" s="5">
        <f>Table341011[[#This Row],[  12-17]]-Table3410111213[[#This Row],[  12-17]]</f>
        <v>7748</v>
      </c>
      <c r="F17" s="5">
        <f>Table341011[[#This Row],[  18-24]]-Table3410111213[[#This Row],[  18-24]]</f>
        <v>8345</v>
      </c>
      <c r="G17" s="5">
        <f>Table341011[[#This Row],[  25-29 ]]-Table3410111213[[#This Row],[  25-29 ]]</f>
        <v>7325</v>
      </c>
      <c r="H17" s="5">
        <f>Table341011[[#This Row],[  30-34]]-Table3410111213[[#This Row],[  30-34]]</f>
        <v>8427</v>
      </c>
      <c r="I17" s="5">
        <f>Table341011[[#This Row],[  35-39]]-Table3410111213[[#This Row],[  35-39]]</f>
        <v>7466</v>
      </c>
      <c r="J17" s="5">
        <f>Table341011[[#This Row],[  40-44]]-Table3410111213[[#This Row],[  40-44]]</f>
        <v>7327</v>
      </c>
      <c r="K17" s="5">
        <f>Table341011[[#This Row],[  45-49 ]]-Table3410111213[[#This Row],[  45-49 ]]</f>
        <v>7749</v>
      </c>
      <c r="L17" s="5">
        <f>Table341011[[#This Row],[  50-54]]-Table3410111213[[#This Row],[  50-54]]</f>
        <v>8579</v>
      </c>
      <c r="M17" s="5">
        <f>Table341011[[#This Row],[  55-59]]-Table3410111213[[#This Row],[  55-59]]</f>
        <v>8503</v>
      </c>
      <c r="N17" s="5">
        <f>Table341011[[#This Row],[  60-64]]-Table3410111213[[#This Row],[  60-64]]</f>
        <v>8972</v>
      </c>
      <c r="O17" s="5">
        <f>Table341011[[#This Row],[  65-69]]-Table3410111213[[#This Row],[  65-69]]</f>
        <v>8018</v>
      </c>
      <c r="P17" s="5">
        <f>Table341011[[#This Row],[  70-74]]-Table3410111213[[#This Row],[  70-74]]</f>
        <v>7646</v>
      </c>
      <c r="Q17" s="5">
        <f>Table341011[[#This Row],[  75-79]]-Table3410111213[[#This Row],[  75-79]]</f>
        <v>5979</v>
      </c>
      <c r="R17" s="5">
        <f>Table341011[[#This Row],[  80-84]]-Table3410111213[[#This Row],[  80-84]]</f>
        <v>4078</v>
      </c>
      <c r="S17" s="5">
        <f>Table341011[[#This Row],[  85-89]]-Table3410111213[[#This Row],[  85-89]]</f>
        <v>2150</v>
      </c>
      <c r="T17" s="5">
        <f>Table341011[[#This Row],[  90+]]-Table3410111213[[#This Row],[  90+]]</f>
        <v>1203</v>
      </c>
    </row>
    <row r="18" spans="1:20" x14ac:dyDescent="0.2">
      <c r="A18" s="9" t="s">
        <v>6</v>
      </c>
      <c r="B18" s="6" t="s">
        <v>0</v>
      </c>
      <c r="C18" s="5">
        <f>Table341011[[#This Row],[Total]]-Table3410111213[[#This Row],[Total]]</f>
        <v>56726</v>
      </c>
      <c r="D18" s="5">
        <f>Table341011[[#This Row],[  5-11]]-Table3410111213[[#This Row],[  5-11]]</f>
        <v>1375</v>
      </c>
      <c r="E18" s="5">
        <f>Table341011[[#This Row],[  12-17]]-Table3410111213[[#This Row],[  12-17]]</f>
        <v>3880</v>
      </c>
      <c r="F18" s="5">
        <f>Table341011[[#This Row],[  18-24]]-Table3410111213[[#This Row],[  18-24]]</f>
        <v>4683</v>
      </c>
      <c r="G18" s="5">
        <f>Table341011[[#This Row],[  25-29 ]]-Table3410111213[[#This Row],[  25-29 ]]</f>
        <v>4191</v>
      </c>
      <c r="H18" s="5">
        <f>Table341011[[#This Row],[  30-34]]-Table3410111213[[#This Row],[  30-34]]</f>
        <v>4623</v>
      </c>
      <c r="I18" s="5">
        <f>Table341011[[#This Row],[  35-39]]-Table3410111213[[#This Row],[  35-39]]</f>
        <v>4011</v>
      </c>
      <c r="J18" s="5">
        <f>Table341011[[#This Row],[  40-44]]-Table3410111213[[#This Row],[  40-44]]</f>
        <v>3806</v>
      </c>
      <c r="K18" s="5">
        <f>Table341011[[#This Row],[  45-49 ]]-Table3410111213[[#This Row],[  45-49 ]]</f>
        <v>3858</v>
      </c>
      <c r="L18" s="5">
        <f>Table341011[[#This Row],[  50-54]]-Table3410111213[[#This Row],[  50-54]]</f>
        <v>4174</v>
      </c>
      <c r="M18" s="5">
        <f>Table341011[[#This Row],[  55-59]]-Table3410111213[[#This Row],[  55-59]]</f>
        <v>4147</v>
      </c>
      <c r="N18" s="5">
        <f>Table341011[[#This Row],[  60-64]]-Table3410111213[[#This Row],[  60-64]]</f>
        <v>4399</v>
      </c>
      <c r="O18" s="5">
        <f>Table341011[[#This Row],[  65-69]]-Table3410111213[[#This Row],[  65-69]]</f>
        <v>3853</v>
      </c>
      <c r="P18" s="5">
        <f>Table341011[[#This Row],[  70-74]]-Table3410111213[[#This Row],[  70-74]]</f>
        <v>3671</v>
      </c>
      <c r="Q18" s="5">
        <f>Table341011[[#This Row],[  75-79]]-Table3410111213[[#This Row],[  75-79]]</f>
        <v>2872</v>
      </c>
      <c r="R18" s="5">
        <f>Table341011[[#This Row],[  80-84]]-Table3410111213[[#This Row],[  80-84]]</f>
        <v>1837</v>
      </c>
      <c r="S18" s="5">
        <f>Table341011[[#This Row],[  85-89]]-Table3410111213[[#This Row],[  85-89]]</f>
        <v>908</v>
      </c>
      <c r="T18" s="5">
        <f>Table341011[[#This Row],[  90+]]-Table3410111213[[#This Row],[  90+]]</f>
        <v>438</v>
      </c>
    </row>
    <row r="19" spans="1:20" x14ac:dyDescent="0.2">
      <c r="A19" s="9" t="s">
        <v>6</v>
      </c>
      <c r="B19" s="6" t="s">
        <v>23</v>
      </c>
      <c r="C19" s="5">
        <f>Table341011[[#This Row],[Total]]-Table3410111213[[#This Row],[Total]]</f>
        <v>55467</v>
      </c>
      <c r="D19" s="5">
        <f>Table341011[[#This Row],[  5-11]]-Table3410111213[[#This Row],[  5-11]]</f>
        <v>1303</v>
      </c>
      <c r="E19" s="5">
        <f>Table341011[[#This Row],[  12-17]]-Table3410111213[[#This Row],[  12-17]]</f>
        <v>3868</v>
      </c>
      <c r="F19" s="5">
        <f>Table341011[[#This Row],[  18-24]]-Table3410111213[[#This Row],[  18-24]]</f>
        <v>3662</v>
      </c>
      <c r="G19" s="5">
        <f>Table341011[[#This Row],[  25-29 ]]-Table3410111213[[#This Row],[  25-29 ]]</f>
        <v>3134</v>
      </c>
      <c r="H19" s="5">
        <f>Table341011[[#This Row],[  30-34]]-Table3410111213[[#This Row],[  30-34]]</f>
        <v>3804</v>
      </c>
      <c r="I19" s="5">
        <f>Table341011[[#This Row],[  35-39]]-Table3410111213[[#This Row],[  35-39]]</f>
        <v>3455</v>
      </c>
      <c r="J19" s="5">
        <f>Table341011[[#This Row],[  40-44]]-Table3410111213[[#This Row],[  40-44]]</f>
        <v>3521</v>
      </c>
      <c r="K19" s="5">
        <f>Table341011[[#This Row],[  45-49 ]]-Table3410111213[[#This Row],[  45-49 ]]</f>
        <v>3891</v>
      </c>
      <c r="L19" s="5">
        <f>Table341011[[#This Row],[  50-54]]-Table3410111213[[#This Row],[  50-54]]</f>
        <v>4405</v>
      </c>
      <c r="M19" s="5">
        <f>Table341011[[#This Row],[  55-59]]-Table3410111213[[#This Row],[  55-59]]</f>
        <v>4356</v>
      </c>
      <c r="N19" s="5">
        <f>Table341011[[#This Row],[  60-64]]-Table3410111213[[#This Row],[  60-64]]</f>
        <v>4573</v>
      </c>
      <c r="O19" s="5">
        <f>Table341011[[#This Row],[  65-69]]-Table3410111213[[#This Row],[  65-69]]</f>
        <v>4165</v>
      </c>
      <c r="P19" s="5">
        <f>Table341011[[#This Row],[  70-74]]-Table3410111213[[#This Row],[  70-74]]</f>
        <v>3975</v>
      </c>
      <c r="Q19" s="5">
        <f>Table341011[[#This Row],[  75-79]]-Table3410111213[[#This Row],[  75-79]]</f>
        <v>3107</v>
      </c>
      <c r="R19" s="5">
        <f>Table341011[[#This Row],[  80-84]]-Table3410111213[[#This Row],[  80-84]]</f>
        <v>2241</v>
      </c>
      <c r="S19" s="5">
        <f>Table341011[[#This Row],[  85-89]]-Table3410111213[[#This Row],[  85-89]]</f>
        <v>1242</v>
      </c>
      <c r="T19" s="5">
        <f>Table341011[[#This Row],[  90+]]-Table3410111213[[#This Row],[  90+]]</f>
        <v>765</v>
      </c>
    </row>
    <row r="20" spans="1:20" x14ac:dyDescent="0.2">
      <c r="A20" s="9" t="s">
        <v>7</v>
      </c>
      <c r="B20" s="6" t="s">
        <v>22</v>
      </c>
      <c r="C20" s="5">
        <f>Table341011[[#This Row],[Total]]-Table3410111213[[#This Row],[Total]]</f>
        <v>111470</v>
      </c>
      <c r="D20" s="5">
        <f>Table341011[[#This Row],[  5-11]]-Table3410111213[[#This Row],[  5-11]]</f>
        <v>4544</v>
      </c>
      <c r="E20" s="5">
        <f>Table341011[[#This Row],[  12-17]]-Table3410111213[[#This Row],[  12-17]]</f>
        <v>8061</v>
      </c>
      <c r="F20" s="5">
        <f>Table341011[[#This Row],[  18-24]]-Table3410111213[[#This Row],[  18-24]]</f>
        <v>8877</v>
      </c>
      <c r="G20" s="5">
        <f>Table341011[[#This Row],[  25-29 ]]-Table3410111213[[#This Row],[  25-29 ]]</f>
        <v>7735</v>
      </c>
      <c r="H20" s="5">
        <f>Table341011[[#This Row],[  30-34]]-Table3410111213[[#This Row],[  30-34]]</f>
        <v>9889</v>
      </c>
      <c r="I20" s="5">
        <f>Table341011[[#This Row],[  35-39]]-Table3410111213[[#This Row],[  35-39]]</f>
        <v>9618</v>
      </c>
      <c r="J20" s="5">
        <f>Table341011[[#This Row],[  40-44]]-Table3410111213[[#This Row],[  40-44]]</f>
        <v>8721</v>
      </c>
      <c r="K20" s="5">
        <f>Table341011[[#This Row],[  45-49 ]]-Table3410111213[[#This Row],[  45-49 ]]</f>
        <v>8256</v>
      </c>
      <c r="L20" s="5">
        <f>Table341011[[#This Row],[  50-54]]-Table3410111213[[#This Row],[  50-54]]</f>
        <v>8701</v>
      </c>
      <c r="M20" s="5">
        <f>Table341011[[#This Row],[  55-59]]-Table3410111213[[#This Row],[  55-59]]</f>
        <v>8020</v>
      </c>
      <c r="N20" s="5">
        <f>Table341011[[#This Row],[  60-64]]-Table3410111213[[#This Row],[  60-64]]</f>
        <v>7889</v>
      </c>
      <c r="O20" s="5">
        <f>Table341011[[#This Row],[  65-69]]-Table3410111213[[#This Row],[  65-69]]</f>
        <v>6390</v>
      </c>
      <c r="P20" s="5">
        <f>Table341011[[#This Row],[  70-74]]-Table3410111213[[#This Row],[  70-74]]</f>
        <v>5250</v>
      </c>
      <c r="Q20" s="5">
        <f>Table341011[[#This Row],[  75-79]]-Table3410111213[[#This Row],[  75-79]]</f>
        <v>4058</v>
      </c>
      <c r="R20" s="5">
        <f>Table341011[[#This Row],[  80-84]]-Table3410111213[[#This Row],[  80-84]]</f>
        <v>2935</v>
      </c>
      <c r="S20" s="5">
        <f>Table341011[[#This Row],[  85-89]]-Table3410111213[[#This Row],[  85-89]]</f>
        <v>1585</v>
      </c>
      <c r="T20" s="5">
        <f>Table341011[[#This Row],[  90+]]-Table3410111213[[#This Row],[  90+]]</f>
        <v>941</v>
      </c>
    </row>
    <row r="21" spans="1:20" x14ac:dyDescent="0.2">
      <c r="A21" s="9" t="s">
        <v>7</v>
      </c>
      <c r="B21" s="6" t="s">
        <v>0</v>
      </c>
      <c r="C21" s="5">
        <f>Table341011[[#This Row],[Total]]-Table3410111213[[#This Row],[Total]]</f>
        <v>55072</v>
      </c>
      <c r="D21" s="5">
        <f>Table341011[[#This Row],[  5-11]]-Table3410111213[[#This Row],[  5-11]]</f>
        <v>2265</v>
      </c>
      <c r="E21" s="5">
        <f>Table341011[[#This Row],[  12-17]]-Table3410111213[[#This Row],[  12-17]]</f>
        <v>4112</v>
      </c>
      <c r="F21" s="5">
        <f>Table341011[[#This Row],[  18-24]]-Table3410111213[[#This Row],[  18-24]]</f>
        <v>4686</v>
      </c>
      <c r="G21" s="5">
        <f>Table341011[[#This Row],[  25-29 ]]-Table3410111213[[#This Row],[  25-29 ]]</f>
        <v>3985</v>
      </c>
      <c r="H21" s="5">
        <f>Table341011[[#This Row],[  30-34]]-Table3410111213[[#This Row],[  30-34]]</f>
        <v>4777</v>
      </c>
      <c r="I21" s="5">
        <f>Table341011[[#This Row],[  35-39]]-Table3410111213[[#This Row],[  35-39]]</f>
        <v>4747</v>
      </c>
      <c r="J21" s="5">
        <f>Table341011[[#This Row],[  40-44]]-Table3410111213[[#This Row],[  40-44]]</f>
        <v>4393</v>
      </c>
      <c r="K21" s="5">
        <f>Table341011[[#This Row],[  45-49 ]]-Table3410111213[[#This Row],[  45-49 ]]</f>
        <v>4131</v>
      </c>
      <c r="L21" s="5">
        <f>Table341011[[#This Row],[  50-54]]-Table3410111213[[#This Row],[  50-54]]</f>
        <v>4371</v>
      </c>
      <c r="M21" s="5">
        <f>Table341011[[#This Row],[  55-59]]-Table3410111213[[#This Row],[  55-59]]</f>
        <v>3957</v>
      </c>
      <c r="N21" s="5">
        <f>Table341011[[#This Row],[  60-64]]-Table3410111213[[#This Row],[  60-64]]</f>
        <v>3887</v>
      </c>
      <c r="O21" s="5">
        <f>Table341011[[#This Row],[  65-69]]-Table3410111213[[#This Row],[  65-69]]</f>
        <v>3131</v>
      </c>
      <c r="P21" s="5">
        <f>Table341011[[#This Row],[  70-74]]-Table3410111213[[#This Row],[  70-74]]</f>
        <v>2540</v>
      </c>
      <c r="Q21" s="5">
        <f>Table341011[[#This Row],[  75-79]]-Table3410111213[[#This Row],[  75-79]]</f>
        <v>1885</v>
      </c>
      <c r="R21" s="5">
        <f>Table341011[[#This Row],[  80-84]]-Table3410111213[[#This Row],[  80-84]]</f>
        <v>1276</v>
      </c>
      <c r="S21" s="5">
        <f>Table341011[[#This Row],[  85-89]]-Table3410111213[[#This Row],[  85-89]]</f>
        <v>609</v>
      </c>
      <c r="T21" s="5">
        <f>Table341011[[#This Row],[  90+]]-Table3410111213[[#This Row],[  90+]]</f>
        <v>320</v>
      </c>
    </row>
    <row r="22" spans="1:20" x14ac:dyDescent="0.2">
      <c r="A22" s="9" t="s">
        <v>7</v>
      </c>
      <c r="B22" s="6" t="s">
        <v>23</v>
      </c>
      <c r="C22" s="5">
        <f>Table341011[[#This Row],[Total]]-Table3410111213[[#This Row],[Total]]</f>
        <v>56398</v>
      </c>
      <c r="D22" s="5">
        <f>Table341011[[#This Row],[  5-11]]-Table3410111213[[#This Row],[  5-11]]</f>
        <v>2279</v>
      </c>
      <c r="E22" s="5">
        <f>Table341011[[#This Row],[  12-17]]-Table3410111213[[#This Row],[  12-17]]</f>
        <v>3949</v>
      </c>
      <c r="F22" s="5">
        <f>Table341011[[#This Row],[  18-24]]-Table3410111213[[#This Row],[  18-24]]</f>
        <v>4191</v>
      </c>
      <c r="G22" s="5">
        <f>Table341011[[#This Row],[  25-29 ]]-Table3410111213[[#This Row],[  25-29 ]]</f>
        <v>3750</v>
      </c>
      <c r="H22" s="5">
        <f>Table341011[[#This Row],[  30-34]]-Table3410111213[[#This Row],[  30-34]]</f>
        <v>5112</v>
      </c>
      <c r="I22" s="5">
        <f>Table341011[[#This Row],[  35-39]]-Table3410111213[[#This Row],[  35-39]]</f>
        <v>4871</v>
      </c>
      <c r="J22" s="5">
        <f>Table341011[[#This Row],[  40-44]]-Table3410111213[[#This Row],[  40-44]]</f>
        <v>4328</v>
      </c>
      <c r="K22" s="5">
        <f>Table341011[[#This Row],[  45-49 ]]-Table3410111213[[#This Row],[  45-49 ]]</f>
        <v>4125</v>
      </c>
      <c r="L22" s="5">
        <f>Table341011[[#This Row],[  50-54]]-Table3410111213[[#This Row],[  50-54]]</f>
        <v>4330</v>
      </c>
      <c r="M22" s="5">
        <f>Table341011[[#This Row],[  55-59]]-Table3410111213[[#This Row],[  55-59]]</f>
        <v>4063</v>
      </c>
      <c r="N22" s="5">
        <f>Table341011[[#This Row],[  60-64]]-Table3410111213[[#This Row],[  60-64]]</f>
        <v>4002</v>
      </c>
      <c r="O22" s="5">
        <f>Table341011[[#This Row],[  65-69]]-Table3410111213[[#This Row],[  65-69]]</f>
        <v>3259</v>
      </c>
      <c r="P22" s="5">
        <f>Table341011[[#This Row],[  70-74]]-Table3410111213[[#This Row],[  70-74]]</f>
        <v>2710</v>
      </c>
      <c r="Q22" s="5">
        <f>Table341011[[#This Row],[  75-79]]-Table3410111213[[#This Row],[  75-79]]</f>
        <v>2173</v>
      </c>
      <c r="R22" s="5">
        <f>Table341011[[#This Row],[  80-84]]-Table3410111213[[#This Row],[  80-84]]</f>
        <v>1659</v>
      </c>
      <c r="S22" s="5">
        <f>Table341011[[#This Row],[  85-89]]-Table3410111213[[#This Row],[  85-89]]</f>
        <v>976</v>
      </c>
      <c r="T22" s="5">
        <f>Table341011[[#This Row],[  90+]]-Table3410111213[[#This Row],[  90+]]</f>
        <v>621</v>
      </c>
    </row>
    <row r="23" spans="1:20" x14ac:dyDescent="0.2">
      <c r="A23" s="9" t="s">
        <v>8</v>
      </c>
      <c r="B23" s="6" t="s">
        <v>22</v>
      </c>
      <c r="C23" s="5">
        <f>Table341011[[#This Row],[Total]]-Table3410111213[[#This Row],[Total]]</f>
        <v>60851</v>
      </c>
      <c r="D23" s="5">
        <f>Table341011[[#This Row],[  5-11]]-Table3410111213[[#This Row],[  5-11]]</f>
        <v>1450</v>
      </c>
      <c r="E23" s="5">
        <f>Table341011[[#This Row],[  12-17]]-Table3410111213[[#This Row],[  12-17]]</f>
        <v>4136</v>
      </c>
      <c r="F23" s="5">
        <f>Table341011[[#This Row],[  18-24]]-Table3410111213[[#This Row],[  18-24]]</f>
        <v>4274</v>
      </c>
      <c r="G23" s="5">
        <f>Table341011[[#This Row],[  25-29 ]]-Table3410111213[[#This Row],[  25-29 ]]</f>
        <v>3828</v>
      </c>
      <c r="H23" s="5">
        <f>Table341011[[#This Row],[  30-34]]-Table3410111213[[#This Row],[  30-34]]</f>
        <v>4516</v>
      </c>
      <c r="I23" s="5">
        <f>Table341011[[#This Row],[  35-39]]-Table3410111213[[#This Row],[  35-39]]</f>
        <v>4340</v>
      </c>
      <c r="J23" s="5">
        <f>Table341011[[#This Row],[  40-44]]-Table3410111213[[#This Row],[  40-44]]</f>
        <v>4056</v>
      </c>
      <c r="K23" s="5">
        <f>Table341011[[#This Row],[  45-49 ]]-Table3410111213[[#This Row],[  45-49 ]]</f>
        <v>4230</v>
      </c>
      <c r="L23" s="5">
        <f>Table341011[[#This Row],[  50-54]]-Table3410111213[[#This Row],[  50-54]]</f>
        <v>4753</v>
      </c>
      <c r="M23" s="5">
        <f>Table341011[[#This Row],[  55-59]]-Table3410111213[[#This Row],[  55-59]]</f>
        <v>4777</v>
      </c>
      <c r="N23" s="5">
        <f>Table341011[[#This Row],[  60-64]]-Table3410111213[[#This Row],[  60-64]]</f>
        <v>4893</v>
      </c>
      <c r="O23" s="5">
        <f>Table341011[[#This Row],[  65-69]]-Table3410111213[[#This Row],[  65-69]]</f>
        <v>4481</v>
      </c>
      <c r="P23" s="5">
        <f>Table341011[[#This Row],[  70-74]]-Table3410111213[[#This Row],[  70-74]]</f>
        <v>4159</v>
      </c>
      <c r="Q23" s="5">
        <f>Table341011[[#This Row],[  75-79]]-Table3410111213[[#This Row],[  75-79]]</f>
        <v>3154</v>
      </c>
      <c r="R23" s="5">
        <f>Table341011[[#This Row],[  80-84]]-Table3410111213[[#This Row],[  80-84]]</f>
        <v>2149</v>
      </c>
      <c r="S23" s="5">
        <f>Table341011[[#This Row],[  85-89]]-Table3410111213[[#This Row],[  85-89]]</f>
        <v>1055</v>
      </c>
      <c r="T23" s="5">
        <f>Table341011[[#This Row],[  90+]]-Table3410111213[[#This Row],[  90+]]</f>
        <v>600</v>
      </c>
    </row>
    <row r="24" spans="1:20" x14ac:dyDescent="0.2">
      <c r="A24" s="9" t="s">
        <v>8</v>
      </c>
      <c r="B24" s="6" t="s">
        <v>0</v>
      </c>
      <c r="C24" s="5">
        <f>Table341011[[#This Row],[Total]]-Table3410111213[[#This Row],[Total]]</f>
        <v>30389</v>
      </c>
      <c r="D24" s="5">
        <f>Table341011[[#This Row],[  5-11]]-Table3410111213[[#This Row],[  5-11]]</f>
        <v>779</v>
      </c>
      <c r="E24" s="5">
        <f>Table341011[[#This Row],[  12-17]]-Table3410111213[[#This Row],[  12-17]]</f>
        <v>2171</v>
      </c>
      <c r="F24" s="5">
        <f>Table341011[[#This Row],[  18-24]]-Table3410111213[[#This Row],[  18-24]]</f>
        <v>2327</v>
      </c>
      <c r="G24" s="5">
        <f>Table341011[[#This Row],[  25-29 ]]-Table3410111213[[#This Row],[  25-29 ]]</f>
        <v>2037</v>
      </c>
      <c r="H24" s="5">
        <f>Table341011[[#This Row],[  30-34]]-Table3410111213[[#This Row],[  30-34]]</f>
        <v>2266</v>
      </c>
      <c r="I24" s="5">
        <f>Table341011[[#This Row],[  35-39]]-Table3410111213[[#This Row],[  35-39]]</f>
        <v>2138</v>
      </c>
      <c r="J24" s="5">
        <f>Table341011[[#This Row],[  40-44]]-Table3410111213[[#This Row],[  40-44]]</f>
        <v>2004</v>
      </c>
      <c r="K24" s="5">
        <f>Table341011[[#This Row],[  45-49 ]]-Table3410111213[[#This Row],[  45-49 ]]</f>
        <v>2074</v>
      </c>
      <c r="L24" s="5">
        <f>Table341011[[#This Row],[  50-54]]-Table3410111213[[#This Row],[  50-54]]</f>
        <v>2359</v>
      </c>
      <c r="M24" s="5">
        <f>Table341011[[#This Row],[  55-59]]-Table3410111213[[#This Row],[  55-59]]</f>
        <v>2311</v>
      </c>
      <c r="N24" s="5">
        <f>Table341011[[#This Row],[  60-64]]-Table3410111213[[#This Row],[  60-64]]</f>
        <v>2408</v>
      </c>
      <c r="O24" s="5">
        <f>Table341011[[#This Row],[  65-69]]-Table3410111213[[#This Row],[  65-69]]</f>
        <v>2217</v>
      </c>
      <c r="P24" s="5">
        <f>Table341011[[#This Row],[  70-74]]-Table3410111213[[#This Row],[  70-74]]</f>
        <v>2067</v>
      </c>
      <c r="Q24" s="5">
        <f>Table341011[[#This Row],[  75-79]]-Table3410111213[[#This Row],[  75-79]]</f>
        <v>1553</v>
      </c>
      <c r="R24" s="5">
        <f>Table341011[[#This Row],[  80-84]]-Table3410111213[[#This Row],[  80-84]]</f>
        <v>1030</v>
      </c>
      <c r="S24" s="5">
        <f>Table341011[[#This Row],[  85-89]]-Table3410111213[[#This Row],[  85-89]]</f>
        <v>439</v>
      </c>
      <c r="T24" s="5">
        <f>Table341011[[#This Row],[  90+]]-Table3410111213[[#This Row],[  90+]]</f>
        <v>209</v>
      </c>
    </row>
    <row r="25" spans="1:20" x14ac:dyDescent="0.2">
      <c r="A25" s="9" t="s">
        <v>8</v>
      </c>
      <c r="B25" s="6" t="s">
        <v>23</v>
      </c>
      <c r="C25" s="5">
        <f>Table341011[[#This Row],[Total]]-Table3410111213[[#This Row],[Total]]</f>
        <v>30462</v>
      </c>
      <c r="D25" s="5">
        <f>Table341011[[#This Row],[  5-11]]-Table3410111213[[#This Row],[  5-11]]</f>
        <v>671</v>
      </c>
      <c r="E25" s="5">
        <f>Table341011[[#This Row],[  12-17]]-Table3410111213[[#This Row],[  12-17]]</f>
        <v>1965</v>
      </c>
      <c r="F25" s="5">
        <f>Table341011[[#This Row],[  18-24]]-Table3410111213[[#This Row],[  18-24]]</f>
        <v>1947</v>
      </c>
      <c r="G25" s="5">
        <f>Table341011[[#This Row],[  25-29 ]]-Table3410111213[[#This Row],[  25-29 ]]</f>
        <v>1791</v>
      </c>
      <c r="H25" s="5">
        <f>Table341011[[#This Row],[  30-34]]-Table3410111213[[#This Row],[  30-34]]</f>
        <v>2250</v>
      </c>
      <c r="I25" s="5">
        <f>Table341011[[#This Row],[  35-39]]-Table3410111213[[#This Row],[  35-39]]</f>
        <v>2202</v>
      </c>
      <c r="J25" s="5">
        <f>Table341011[[#This Row],[  40-44]]-Table3410111213[[#This Row],[  40-44]]</f>
        <v>2052</v>
      </c>
      <c r="K25" s="5">
        <f>Table341011[[#This Row],[  45-49 ]]-Table3410111213[[#This Row],[  45-49 ]]</f>
        <v>2156</v>
      </c>
      <c r="L25" s="5">
        <f>Table341011[[#This Row],[  50-54]]-Table3410111213[[#This Row],[  50-54]]</f>
        <v>2394</v>
      </c>
      <c r="M25" s="5">
        <f>Table341011[[#This Row],[  55-59]]-Table3410111213[[#This Row],[  55-59]]</f>
        <v>2466</v>
      </c>
      <c r="N25" s="5">
        <f>Table341011[[#This Row],[  60-64]]-Table3410111213[[#This Row],[  60-64]]</f>
        <v>2485</v>
      </c>
      <c r="O25" s="5">
        <f>Table341011[[#This Row],[  65-69]]-Table3410111213[[#This Row],[  65-69]]</f>
        <v>2264</v>
      </c>
      <c r="P25" s="5">
        <f>Table341011[[#This Row],[  70-74]]-Table3410111213[[#This Row],[  70-74]]</f>
        <v>2092</v>
      </c>
      <c r="Q25" s="5">
        <f>Table341011[[#This Row],[  75-79]]-Table3410111213[[#This Row],[  75-79]]</f>
        <v>1601</v>
      </c>
      <c r="R25" s="5">
        <f>Table341011[[#This Row],[  80-84]]-Table3410111213[[#This Row],[  80-84]]</f>
        <v>1119</v>
      </c>
      <c r="S25" s="5">
        <f>Table341011[[#This Row],[  85-89]]-Table3410111213[[#This Row],[  85-89]]</f>
        <v>616</v>
      </c>
      <c r="T25" s="5">
        <f>Table341011[[#This Row],[  90+]]-Table3410111213[[#This Row],[  90+]]</f>
        <v>391</v>
      </c>
    </row>
    <row r="26" spans="1:20" x14ac:dyDescent="0.2">
      <c r="A26" s="9" t="s">
        <v>9</v>
      </c>
      <c r="B26" s="6" t="s">
        <v>22</v>
      </c>
      <c r="C26" s="5">
        <f>Table341011[[#This Row],[Total]]-Table3410111213[[#This Row],[Total]]</f>
        <v>125735</v>
      </c>
      <c r="D26" s="5">
        <f>Table341011[[#This Row],[  5-11]]-Table3410111213[[#This Row],[  5-11]]</f>
        <v>3612</v>
      </c>
      <c r="E26" s="5">
        <f>Table341011[[#This Row],[  12-17]]-Table3410111213[[#This Row],[  12-17]]</f>
        <v>9104</v>
      </c>
      <c r="F26" s="5">
        <f>Table341011[[#This Row],[  18-24]]-Table3410111213[[#This Row],[  18-24]]</f>
        <v>11584</v>
      </c>
      <c r="G26" s="5">
        <f>Table341011[[#This Row],[  25-29 ]]-Table3410111213[[#This Row],[  25-29 ]]</f>
        <v>8663</v>
      </c>
      <c r="H26" s="5">
        <f>Table341011[[#This Row],[  30-34]]-Table3410111213[[#This Row],[  30-34]]</f>
        <v>9124</v>
      </c>
      <c r="I26" s="5">
        <f>Table341011[[#This Row],[  35-39]]-Table3410111213[[#This Row],[  35-39]]</f>
        <v>8505</v>
      </c>
      <c r="J26" s="5">
        <f>Table341011[[#This Row],[  40-44]]-Table3410111213[[#This Row],[  40-44]]</f>
        <v>7909</v>
      </c>
      <c r="K26" s="5">
        <f>Table341011[[#This Row],[  45-49 ]]-Table3410111213[[#This Row],[  45-49 ]]</f>
        <v>7927</v>
      </c>
      <c r="L26" s="5">
        <f>Table341011[[#This Row],[  50-54]]-Table3410111213[[#This Row],[  50-54]]</f>
        <v>9046</v>
      </c>
      <c r="M26" s="5">
        <f>Table341011[[#This Row],[  55-59]]-Table3410111213[[#This Row],[  55-59]]</f>
        <v>9259</v>
      </c>
      <c r="N26" s="5">
        <f>Table341011[[#This Row],[  60-64]]-Table3410111213[[#This Row],[  60-64]]</f>
        <v>9886</v>
      </c>
      <c r="O26" s="5">
        <f>Table341011[[#This Row],[  65-69]]-Table3410111213[[#This Row],[  65-69]]</f>
        <v>8738</v>
      </c>
      <c r="P26" s="5">
        <f>Table341011[[#This Row],[  70-74]]-Table3410111213[[#This Row],[  70-74]]</f>
        <v>7990</v>
      </c>
      <c r="Q26" s="5">
        <f>Table341011[[#This Row],[  75-79]]-Table3410111213[[#This Row],[  75-79]]</f>
        <v>6365</v>
      </c>
      <c r="R26" s="5">
        <f>Table341011[[#This Row],[  80-84]]-Table3410111213[[#This Row],[  80-84]]</f>
        <v>4412</v>
      </c>
      <c r="S26" s="5">
        <f>Table341011[[#This Row],[  85-89]]-Table3410111213[[#This Row],[  85-89]]</f>
        <v>2311</v>
      </c>
      <c r="T26" s="5">
        <f>Table341011[[#This Row],[  90+]]-Table3410111213[[#This Row],[  90+]]</f>
        <v>1300</v>
      </c>
    </row>
    <row r="27" spans="1:20" x14ac:dyDescent="0.2">
      <c r="A27" s="9" t="s">
        <v>9</v>
      </c>
      <c r="B27" s="6" t="s">
        <v>0</v>
      </c>
      <c r="C27" s="5">
        <f>Table341011[[#This Row],[Total]]-Table3410111213[[#This Row],[Total]]</f>
        <v>61551</v>
      </c>
      <c r="D27" s="5">
        <f>Table341011[[#This Row],[  5-11]]-Table3410111213[[#This Row],[  5-11]]</f>
        <v>1858</v>
      </c>
      <c r="E27" s="5">
        <f>Table341011[[#This Row],[  12-17]]-Table3410111213[[#This Row],[  12-17]]</f>
        <v>4602</v>
      </c>
      <c r="F27" s="5">
        <f>Table341011[[#This Row],[  18-24]]-Table3410111213[[#This Row],[  18-24]]</f>
        <v>5849</v>
      </c>
      <c r="G27" s="5">
        <f>Table341011[[#This Row],[  25-29 ]]-Table3410111213[[#This Row],[  25-29 ]]</f>
        <v>4492</v>
      </c>
      <c r="H27" s="5">
        <f>Table341011[[#This Row],[  30-34]]-Table3410111213[[#This Row],[  30-34]]</f>
        <v>4523</v>
      </c>
      <c r="I27" s="5">
        <f>Table341011[[#This Row],[  35-39]]-Table3410111213[[#This Row],[  35-39]]</f>
        <v>4198</v>
      </c>
      <c r="J27" s="5">
        <f>Table341011[[#This Row],[  40-44]]-Table3410111213[[#This Row],[  40-44]]</f>
        <v>3911</v>
      </c>
      <c r="K27" s="5">
        <f>Table341011[[#This Row],[  45-49 ]]-Table3410111213[[#This Row],[  45-49 ]]</f>
        <v>3852</v>
      </c>
      <c r="L27" s="5">
        <f>Table341011[[#This Row],[  50-54]]-Table3410111213[[#This Row],[  50-54]]</f>
        <v>4363</v>
      </c>
      <c r="M27" s="5">
        <f>Table341011[[#This Row],[  55-59]]-Table3410111213[[#This Row],[  55-59]]</f>
        <v>4495</v>
      </c>
      <c r="N27" s="5">
        <f>Table341011[[#This Row],[  60-64]]-Table3410111213[[#This Row],[  60-64]]</f>
        <v>4832</v>
      </c>
      <c r="O27" s="5">
        <f>Table341011[[#This Row],[  65-69]]-Table3410111213[[#This Row],[  65-69]]</f>
        <v>4229</v>
      </c>
      <c r="P27" s="5">
        <f>Table341011[[#This Row],[  70-74]]-Table3410111213[[#This Row],[  70-74]]</f>
        <v>3780</v>
      </c>
      <c r="Q27" s="5">
        <f>Table341011[[#This Row],[  75-79]]-Table3410111213[[#This Row],[  75-79]]</f>
        <v>3087</v>
      </c>
      <c r="R27" s="5">
        <f>Table341011[[#This Row],[  80-84]]-Table3410111213[[#This Row],[  80-84]]</f>
        <v>2051</v>
      </c>
      <c r="S27" s="5">
        <f>Table341011[[#This Row],[  85-89]]-Table3410111213[[#This Row],[  85-89]]</f>
        <v>978</v>
      </c>
      <c r="T27" s="5">
        <f>Table341011[[#This Row],[  90+]]-Table3410111213[[#This Row],[  90+]]</f>
        <v>451</v>
      </c>
    </row>
    <row r="28" spans="1:20" x14ac:dyDescent="0.2">
      <c r="A28" s="9" t="s">
        <v>9</v>
      </c>
      <c r="B28" s="6" t="s">
        <v>23</v>
      </c>
      <c r="C28" s="5">
        <f>Table341011[[#This Row],[Total]]-Table3410111213[[#This Row],[Total]]</f>
        <v>64184</v>
      </c>
      <c r="D28" s="5">
        <f>Table341011[[#This Row],[  5-11]]-Table3410111213[[#This Row],[  5-11]]</f>
        <v>1754</v>
      </c>
      <c r="E28" s="5">
        <f>Table341011[[#This Row],[  12-17]]-Table3410111213[[#This Row],[  12-17]]</f>
        <v>4502</v>
      </c>
      <c r="F28" s="5">
        <f>Table341011[[#This Row],[  18-24]]-Table3410111213[[#This Row],[  18-24]]</f>
        <v>5735</v>
      </c>
      <c r="G28" s="5">
        <f>Table341011[[#This Row],[  25-29 ]]-Table3410111213[[#This Row],[  25-29 ]]</f>
        <v>4171</v>
      </c>
      <c r="H28" s="5">
        <f>Table341011[[#This Row],[  30-34]]-Table3410111213[[#This Row],[  30-34]]</f>
        <v>4601</v>
      </c>
      <c r="I28" s="5">
        <f>Table341011[[#This Row],[  35-39]]-Table3410111213[[#This Row],[  35-39]]</f>
        <v>4307</v>
      </c>
      <c r="J28" s="5">
        <f>Table341011[[#This Row],[  40-44]]-Table3410111213[[#This Row],[  40-44]]</f>
        <v>3998</v>
      </c>
      <c r="K28" s="5">
        <f>Table341011[[#This Row],[  45-49 ]]-Table3410111213[[#This Row],[  45-49 ]]</f>
        <v>4075</v>
      </c>
      <c r="L28" s="5">
        <f>Table341011[[#This Row],[  50-54]]-Table3410111213[[#This Row],[  50-54]]</f>
        <v>4683</v>
      </c>
      <c r="M28" s="5">
        <f>Table341011[[#This Row],[  55-59]]-Table3410111213[[#This Row],[  55-59]]</f>
        <v>4764</v>
      </c>
      <c r="N28" s="5">
        <f>Table341011[[#This Row],[  60-64]]-Table3410111213[[#This Row],[  60-64]]</f>
        <v>5054</v>
      </c>
      <c r="O28" s="5">
        <f>Table341011[[#This Row],[  65-69]]-Table3410111213[[#This Row],[  65-69]]</f>
        <v>4509</v>
      </c>
      <c r="P28" s="5">
        <f>Table341011[[#This Row],[  70-74]]-Table3410111213[[#This Row],[  70-74]]</f>
        <v>4210</v>
      </c>
      <c r="Q28" s="5">
        <f>Table341011[[#This Row],[  75-79]]-Table3410111213[[#This Row],[  75-79]]</f>
        <v>3278</v>
      </c>
      <c r="R28" s="5">
        <f>Table341011[[#This Row],[  80-84]]-Table3410111213[[#This Row],[  80-84]]</f>
        <v>2361</v>
      </c>
      <c r="S28" s="5">
        <f>Table341011[[#This Row],[  85-89]]-Table3410111213[[#This Row],[  85-89]]</f>
        <v>1333</v>
      </c>
      <c r="T28" s="5">
        <f>Table341011[[#This Row],[  90+]]-Table3410111213[[#This Row],[  90+]]</f>
        <v>849</v>
      </c>
    </row>
    <row r="29" spans="1:20" x14ac:dyDescent="0.2">
      <c r="A29" s="9" t="s">
        <v>10</v>
      </c>
      <c r="B29" s="6" t="s">
        <v>22</v>
      </c>
      <c r="C29" s="5">
        <f>Table341011[[#This Row],[Total]]-Table3410111213[[#This Row],[Total]]</f>
        <v>122330</v>
      </c>
      <c r="D29" s="5">
        <f>Table341011[[#This Row],[  5-11]]-Table3410111213[[#This Row],[  5-11]]</f>
        <v>3029</v>
      </c>
      <c r="E29" s="5">
        <f>Table341011[[#This Row],[  12-17]]-Table3410111213[[#This Row],[  12-17]]</f>
        <v>8098</v>
      </c>
      <c r="F29" s="5">
        <f>Table341011[[#This Row],[  18-24]]-Table3410111213[[#This Row],[  18-24]]</f>
        <v>8336</v>
      </c>
      <c r="G29" s="5">
        <f>Table341011[[#This Row],[  25-29 ]]-Table3410111213[[#This Row],[  25-29 ]]</f>
        <v>7023</v>
      </c>
      <c r="H29" s="5">
        <f>Table341011[[#This Row],[  30-34]]-Table3410111213[[#This Row],[  30-34]]</f>
        <v>8219</v>
      </c>
      <c r="I29" s="5">
        <f>Table341011[[#This Row],[  35-39]]-Table3410111213[[#This Row],[  35-39]]</f>
        <v>8210</v>
      </c>
      <c r="J29" s="5">
        <f>Table341011[[#This Row],[  40-44]]-Table3410111213[[#This Row],[  40-44]]</f>
        <v>7821</v>
      </c>
      <c r="K29" s="5">
        <f>Table341011[[#This Row],[  45-49 ]]-Table3410111213[[#This Row],[  45-49 ]]</f>
        <v>8587</v>
      </c>
      <c r="L29" s="5">
        <f>Table341011[[#This Row],[  50-54]]-Table3410111213[[#This Row],[  50-54]]</f>
        <v>9666</v>
      </c>
      <c r="M29" s="5">
        <f>Table341011[[#This Row],[  55-59]]-Table3410111213[[#This Row],[  55-59]]</f>
        <v>9869</v>
      </c>
      <c r="N29" s="5">
        <f>Table341011[[#This Row],[  60-64]]-Table3410111213[[#This Row],[  60-64]]</f>
        <v>10263</v>
      </c>
      <c r="O29" s="5">
        <f>Table341011[[#This Row],[  65-69]]-Table3410111213[[#This Row],[  65-69]]</f>
        <v>9474</v>
      </c>
      <c r="P29" s="5">
        <f>Table341011[[#This Row],[  70-74]]-Table3410111213[[#This Row],[  70-74]]</f>
        <v>8928</v>
      </c>
      <c r="Q29" s="5">
        <f>Table341011[[#This Row],[  75-79]]-Table3410111213[[#This Row],[  75-79]]</f>
        <v>6870</v>
      </c>
      <c r="R29" s="5">
        <f>Table341011[[#This Row],[  80-84]]-Table3410111213[[#This Row],[  80-84]]</f>
        <v>4422</v>
      </c>
      <c r="S29" s="5">
        <f>Table341011[[#This Row],[  85-89]]-Table3410111213[[#This Row],[  85-89]]</f>
        <v>2289</v>
      </c>
      <c r="T29" s="5">
        <f>Table341011[[#This Row],[  90+]]-Table3410111213[[#This Row],[  90+]]</f>
        <v>1226</v>
      </c>
    </row>
    <row r="30" spans="1:20" x14ac:dyDescent="0.2">
      <c r="A30" s="9" t="s">
        <v>10</v>
      </c>
      <c r="B30" s="6" t="s">
        <v>0</v>
      </c>
      <c r="C30" s="5">
        <f>Table341011[[#This Row],[Total]]-Table3410111213[[#This Row],[Total]]</f>
        <v>62101</v>
      </c>
      <c r="D30" s="5">
        <f>Table341011[[#This Row],[  5-11]]-Table3410111213[[#This Row],[  5-11]]</f>
        <v>1531</v>
      </c>
      <c r="E30" s="5">
        <f>Table341011[[#This Row],[  12-17]]-Table3410111213[[#This Row],[  12-17]]</f>
        <v>4153</v>
      </c>
      <c r="F30" s="5">
        <f>Table341011[[#This Row],[  18-24]]-Table3410111213[[#This Row],[  18-24]]</f>
        <v>4723</v>
      </c>
      <c r="G30" s="5">
        <f>Table341011[[#This Row],[  25-29 ]]-Table3410111213[[#This Row],[  25-29 ]]</f>
        <v>3975</v>
      </c>
      <c r="H30" s="5">
        <f>Table341011[[#This Row],[  30-34]]-Table3410111213[[#This Row],[  30-34]]</f>
        <v>4365</v>
      </c>
      <c r="I30" s="5">
        <f>Table341011[[#This Row],[  35-39]]-Table3410111213[[#This Row],[  35-39]]</f>
        <v>4251</v>
      </c>
      <c r="J30" s="5">
        <f>Table341011[[#This Row],[  40-44]]-Table3410111213[[#This Row],[  40-44]]</f>
        <v>3966</v>
      </c>
      <c r="K30" s="5">
        <f>Table341011[[#This Row],[  45-49 ]]-Table3410111213[[#This Row],[  45-49 ]]</f>
        <v>4303</v>
      </c>
      <c r="L30" s="5">
        <f>Table341011[[#This Row],[  50-54]]-Table3410111213[[#This Row],[  50-54]]</f>
        <v>4737</v>
      </c>
      <c r="M30" s="5">
        <f>Table341011[[#This Row],[  55-59]]-Table3410111213[[#This Row],[  55-59]]</f>
        <v>4867</v>
      </c>
      <c r="N30" s="5">
        <f>Table341011[[#This Row],[  60-64]]-Table3410111213[[#This Row],[  60-64]]</f>
        <v>5056</v>
      </c>
      <c r="O30" s="5">
        <f>Table341011[[#This Row],[  65-69]]-Table3410111213[[#This Row],[  65-69]]</f>
        <v>4675</v>
      </c>
      <c r="P30" s="5">
        <f>Table341011[[#This Row],[  70-74]]-Table3410111213[[#This Row],[  70-74]]</f>
        <v>4420</v>
      </c>
      <c r="Q30" s="5">
        <f>Table341011[[#This Row],[  75-79]]-Table3410111213[[#This Row],[  75-79]]</f>
        <v>3449</v>
      </c>
      <c r="R30" s="5">
        <f>Table341011[[#This Row],[  80-84]]-Table3410111213[[#This Row],[  80-84]]</f>
        <v>2139</v>
      </c>
      <c r="S30" s="5">
        <f>Table341011[[#This Row],[  85-89]]-Table3410111213[[#This Row],[  85-89]]</f>
        <v>1015</v>
      </c>
      <c r="T30" s="5">
        <f>Table341011[[#This Row],[  90+]]-Table3410111213[[#This Row],[  90+]]</f>
        <v>476</v>
      </c>
    </row>
    <row r="31" spans="1:20" x14ac:dyDescent="0.2">
      <c r="A31" s="9" t="s">
        <v>10</v>
      </c>
      <c r="B31" s="6" t="s">
        <v>23</v>
      </c>
      <c r="C31" s="5">
        <f>Table341011[[#This Row],[Total]]-Table3410111213[[#This Row],[Total]]</f>
        <v>60229</v>
      </c>
      <c r="D31" s="5">
        <f>Table341011[[#This Row],[  5-11]]-Table3410111213[[#This Row],[  5-11]]</f>
        <v>1498</v>
      </c>
      <c r="E31" s="5">
        <f>Table341011[[#This Row],[  12-17]]-Table3410111213[[#This Row],[  12-17]]</f>
        <v>3945</v>
      </c>
      <c r="F31" s="5">
        <f>Table341011[[#This Row],[  18-24]]-Table3410111213[[#This Row],[  18-24]]</f>
        <v>3613</v>
      </c>
      <c r="G31" s="5">
        <f>Table341011[[#This Row],[  25-29 ]]-Table3410111213[[#This Row],[  25-29 ]]</f>
        <v>3048</v>
      </c>
      <c r="H31" s="5">
        <f>Table341011[[#This Row],[  30-34]]-Table3410111213[[#This Row],[  30-34]]</f>
        <v>3854</v>
      </c>
      <c r="I31" s="5">
        <f>Table341011[[#This Row],[  35-39]]-Table3410111213[[#This Row],[  35-39]]</f>
        <v>3959</v>
      </c>
      <c r="J31" s="5">
        <f>Table341011[[#This Row],[  40-44]]-Table3410111213[[#This Row],[  40-44]]</f>
        <v>3855</v>
      </c>
      <c r="K31" s="5">
        <f>Table341011[[#This Row],[  45-49 ]]-Table3410111213[[#This Row],[  45-49 ]]</f>
        <v>4284</v>
      </c>
      <c r="L31" s="5">
        <f>Table341011[[#This Row],[  50-54]]-Table3410111213[[#This Row],[  50-54]]</f>
        <v>4929</v>
      </c>
      <c r="M31" s="5">
        <f>Table341011[[#This Row],[  55-59]]-Table3410111213[[#This Row],[  55-59]]</f>
        <v>5002</v>
      </c>
      <c r="N31" s="5">
        <f>Table341011[[#This Row],[  60-64]]-Table3410111213[[#This Row],[  60-64]]</f>
        <v>5207</v>
      </c>
      <c r="O31" s="5">
        <f>Table341011[[#This Row],[  65-69]]-Table3410111213[[#This Row],[  65-69]]</f>
        <v>4799</v>
      </c>
      <c r="P31" s="5">
        <f>Table341011[[#This Row],[  70-74]]-Table3410111213[[#This Row],[  70-74]]</f>
        <v>4508</v>
      </c>
      <c r="Q31" s="5">
        <f>Table341011[[#This Row],[  75-79]]-Table3410111213[[#This Row],[  75-79]]</f>
        <v>3421</v>
      </c>
      <c r="R31" s="5">
        <f>Table341011[[#This Row],[  80-84]]-Table3410111213[[#This Row],[  80-84]]</f>
        <v>2283</v>
      </c>
      <c r="S31" s="5">
        <f>Table341011[[#This Row],[  85-89]]-Table3410111213[[#This Row],[  85-89]]</f>
        <v>1274</v>
      </c>
      <c r="T31" s="5">
        <f>Table341011[[#This Row],[  90+]]-Table3410111213[[#This Row],[  90+]]</f>
        <v>750</v>
      </c>
    </row>
    <row r="32" spans="1:20" x14ac:dyDescent="0.2">
      <c r="A32" s="9" t="s">
        <v>11</v>
      </c>
      <c r="B32" s="6" t="s">
        <v>22</v>
      </c>
      <c r="C32" s="5">
        <f>Table341011[[#This Row],[Total]]-Table3410111213[[#This Row],[Total]]</f>
        <v>101698</v>
      </c>
      <c r="D32" s="5">
        <f>Table341011[[#This Row],[  5-11]]-Table3410111213[[#This Row],[  5-11]]</f>
        <v>1836</v>
      </c>
      <c r="E32" s="5">
        <f>Table341011[[#This Row],[  12-17]]-Table3410111213[[#This Row],[  12-17]]</f>
        <v>6002</v>
      </c>
      <c r="F32" s="5">
        <f>Table341011[[#This Row],[  18-24]]-Table3410111213[[#This Row],[  18-24]]</f>
        <v>5885</v>
      </c>
      <c r="G32" s="5">
        <f>Table341011[[#This Row],[  25-29 ]]-Table3410111213[[#This Row],[  25-29 ]]</f>
        <v>4964</v>
      </c>
      <c r="H32" s="5">
        <f>Table341011[[#This Row],[  30-34]]-Table3410111213[[#This Row],[  30-34]]</f>
        <v>6157</v>
      </c>
      <c r="I32" s="5">
        <f>Table341011[[#This Row],[  35-39]]-Table3410111213[[#This Row],[  35-39]]</f>
        <v>6262</v>
      </c>
      <c r="J32" s="5">
        <f>Table341011[[#This Row],[  40-44]]-Table3410111213[[#This Row],[  40-44]]</f>
        <v>5724</v>
      </c>
      <c r="K32" s="5">
        <f>Table341011[[#This Row],[  45-49 ]]-Table3410111213[[#This Row],[  45-49 ]]</f>
        <v>6296</v>
      </c>
      <c r="L32" s="5">
        <f>Table341011[[#This Row],[  50-54]]-Table3410111213[[#This Row],[  50-54]]</f>
        <v>7799</v>
      </c>
      <c r="M32" s="5">
        <f>Table341011[[#This Row],[  55-59]]-Table3410111213[[#This Row],[  55-59]]</f>
        <v>8521</v>
      </c>
      <c r="N32" s="5">
        <f>Table341011[[#This Row],[  60-64]]-Table3410111213[[#This Row],[  60-64]]</f>
        <v>9470</v>
      </c>
      <c r="O32" s="5">
        <f>Table341011[[#This Row],[  65-69]]-Table3410111213[[#This Row],[  65-69]]</f>
        <v>9425</v>
      </c>
      <c r="P32" s="5">
        <f>Table341011[[#This Row],[  70-74]]-Table3410111213[[#This Row],[  70-74]]</f>
        <v>8950</v>
      </c>
      <c r="Q32" s="5">
        <f>Table341011[[#This Row],[  75-79]]-Table3410111213[[#This Row],[  75-79]]</f>
        <v>6772</v>
      </c>
      <c r="R32" s="5">
        <f>Table341011[[#This Row],[  80-84]]-Table3410111213[[#This Row],[  80-84]]</f>
        <v>4305</v>
      </c>
      <c r="S32" s="5">
        <f>Table341011[[#This Row],[  85-89]]-Table3410111213[[#This Row],[  85-89]]</f>
        <v>2180</v>
      </c>
      <c r="T32" s="5">
        <f>Table341011[[#This Row],[  90+]]-Table3410111213[[#This Row],[  90+]]</f>
        <v>1150</v>
      </c>
    </row>
    <row r="33" spans="1:20" x14ac:dyDescent="0.2">
      <c r="A33" s="9" t="s">
        <v>11</v>
      </c>
      <c r="B33" s="6" t="s">
        <v>0</v>
      </c>
      <c r="C33" s="5">
        <f>Table341011[[#This Row],[Total]]-Table3410111213[[#This Row],[Total]]</f>
        <v>50794</v>
      </c>
      <c r="D33" s="5">
        <f>Table341011[[#This Row],[  5-11]]-Table3410111213[[#This Row],[  5-11]]</f>
        <v>910</v>
      </c>
      <c r="E33" s="5">
        <f>Table341011[[#This Row],[  12-17]]-Table3410111213[[#This Row],[  12-17]]</f>
        <v>3045</v>
      </c>
      <c r="F33" s="5">
        <f>Table341011[[#This Row],[  18-24]]-Table3410111213[[#This Row],[  18-24]]</f>
        <v>3100</v>
      </c>
      <c r="G33" s="5">
        <f>Table341011[[#This Row],[  25-29 ]]-Table3410111213[[#This Row],[  25-29 ]]</f>
        <v>2565</v>
      </c>
      <c r="H33" s="5">
        <f>Table341011[[#This Row],[  30-34]]-Table3410111213[[#This Row],[  30-34]]</f>
        <v>2953</v>
      </c>
      <c r="I33" s="5">
        <f>Table341011[[#This Row],[  35-39]]-Table3410111213[[#This Row],[  35-39]]</f>
        <v>3167</v>
      </c>
      <c r="J33" s="5">
        <f>Table341011[[#This Row],[  40-44]]-Table3410111213[[#This Row],[  40-44]]</f>
        <v>2855</v>
      </c>
      <c r="K33" s="5">
        <f>Table341011[[#This Row],[  45-49 ]]-Table3410111213[[#This Row],[  45-49 ]]</f>
        <v>3094</v>
      </c>
      <c r="L33" s="5">
        <f>Table341011[[#This Row],[  50-54]]-Table3410111213[[#This Row],[  50-54]]</f>
        <v>3819</v>
      </c>
      <c r="M33" s="5">
        <f>Table341011[[#This Row],[  55-59]]-Table3410111213[[#This Row],[  55-59]]</f>
        <v>4156</v>
      </c>
      <c r="N33" s="5">
        <f>Table341011[[#This Row],[  60-64]]-Table3410111213[[#This Row],[  60-64]]</f>
        <v>4686</v>
      </c>
      <c r="O33" s="5">
        <f>Table341011[[#This Row],[  65-69]]-Table3410111213[[#This Row],[  65-69]]</f>
        <v>4799</v>
      </c>
      <c r="P33" s="5">
        <f>Table341011[[#This Row],[  70-74]]-Table3410111213[[#This Row],[  70-74]]</f>
        <v>4599</v>
      </c>
      <c r="Q33" s="5">
        <f>Table341011[[#This Row],[  75-79]]-Table3410111213[[#This Row],[  75-79]]</f>
        <v>3483</v>
      </c>
      <c r="R33" s="5">
        <f>Table341011[[#This Row],[  80-84]]-Table3410111213[[#This Row],[  80-84]]</f>
        <v>2133</v>
      </c>
      <c r="S33" s="5">
        <f>Table341011[[#This Row],[  85-89]]-Table3410111213[[#This Row],[  85-89]]</f>
        <v>991</v>
      </c>
      <c r="T33" s="5">
        <f>Table341011[[#This Row],[  90+]]-Table3410111213[[#This Row],[  90+]]</f>
        <v>439</v>
      </c>
    </row>
    <row r="34" spans="1:20" x14ac:dyDescent="0.2">
      <c r="A34" s="9" t="s">
        <v>11</v>
      </c>
      <c r="B34" s="6" t="s">
        <v>23</v>
      </c>
      <c r="C34" s="5">
        <f>Table341011[[#This Row],[Total]]-Table3410111213[[#This Row],[Total]]</f>
        <v>50904</v>
      </c>
      <c r="D34" s="5">
        <f>Table341011[[#This Row],[  5-11]]-Table3410111213[[#This Row],[  5-11]]</f>
        <v>926</v>
      </c>
      <c r="E34" s="5">
        <f>Table341011[[#This Row],[  12-17]]-Table3410111213[[#This Row],[  12-17]]</f>
        <v>2957</v>
      </c>
      <c r="F34" s="5">
        <f>Table341011[[#This Row],[  18-24]]-Table3410111213[[#This Row],[  18-24]]</f>
        <v>2785</v>
      </c>
      <c r="G34" s="5">
        <f>Table341011[[#This Row],[  25-29 ]]-Table3410111213[[#This Row],[  25-29 ]]</f>
        <v>2399</v>
      </c>
      <c r="H34" s="5">
        <f>Table341011[[#This Row],[  30-34]]-Table3410111213[[#This Row],[  30-34]]</f>
        <v>3204</v>
      </c>
      <c r="I34" s="5">
        <f>Table341011[[#This Row],[  35-39]]-Table3410111213[[#This Row],[  35-39]]</f>
        <v>3095</v>
      </c>
      <c r="J34" s="5">
        <f>Table341011[[#This Row],[  40-44]]-Table3410111213[[#This Row],[  40-44]]</f>
        <v>2869</v>
      </c>
      <c r="K34" s="5">
        <f>Table341011[[#This Row],[  45-49 ]]-Table3410111213[[#This Row],[  45-49 ]]</f>
        <v>3202</v>
      </c>
      <c r="L34" s="5">
        <f>Table341011[[#This Row],[  50-54]]-Table3410111213[[#This Row],[  50-54]]</f>
        <v>3980</v>
      </c>
      <c r="M34" s="5">
        <f>Table341011[[#This Row],[  55-59]]-Table3410111213[[#This Row],[  55-59]]</f>
        <v>4365</v>
      </c>
      <c r="N34" s="5">
        <f>Table341011[[#This Row],[  60-64]]-Table3410111213[[#This Row],[  60-64]]</f>
        <v>4784</v>
      </c>
      <c r="O34" s="5">
        <f>Table341011[[#This Row],[  65-69]]-Table3410111213[[#This Row],[  65-69]]</f>
        <v>4626</v>
      </c>
      <c r="P34" s="5">
        <f>Table341011[[#This Row],[  70-74]]-Table3410111213[[#This Row],[  70-74]]</f>
        <v>4351</v>
      </c>
      <c r="Q34" s="5">
        <f>Table341011[[#This Row],[  75-79]]-Table3410111213[[#This Row],[  75-79]]</f>
        <v>3289</v>
      </c>
      <c r="R34" s="5">
        <f>Table341011[[#This Row],[  80-84]]-Table3410111213[[#This Row],[  80-84]]</f>
        <v>2172</v>
      </c>
      <c r="S34" s="5">
        <f>Table341011[[#This Row],[  85-89]]-Table3410111213[[#This Row],[  85-89]]</f>
        <v>1189</v>
      </c>
      <c r="T34" s="5">
        <f>Table341011[[#This Row],[  90+]]-Table3410111213[[#This Row],[  90+]]</f>
        <v>711</v>
      </c>
    </row>
    <row r="35" spans="1:20" x14ac:dyDescent="0.2">
      <c r="A35" s="9" t="s">
        <v>12</v>
      </c>
      <c r="B35" s="6" t="s">
        <v>22</v>
      </c>
      <c r="C35" s="5">
        <f>Table341011[[#This Row],[Total]]-Table3410111213[[#This Row],[Total]]</f>
        <v>2172</v>
      </c>
      <c r="D35" s="5">
        <f>Table341011[[#This Row],[  5-11]]-Table3410111213[[#This Row],[  5-11]]</f>
        <v>17</v>
      </c>
      <c r="E35" s="5">
        <f>Table341011[[#This Row],[  12-17]]-Table3410111213[[#This Row],[  12-17]]</f>
        <v>80</v>
      </c>
      <c r="F35" s="5">
        <f>Table341011[[#This Row],[  18-24]]-Table3410111213[[#This Row],[  18-24]]</f>
        <v>211</v>
      </c>
      <c r="G35" s="5">
        <f>Table341011[[#This Row],[  25-29 ]]-Table3410111213[[#This Row],[  25-29 ]]</f>
        <v>292</v>
      </c>
      <c r="H35" s="5">
        <f>Table341011[[#This Row],[  30-34]]-Table3410111213[[#This Row],[  30-34]]</f>
        <v>302</v>
      </c>
      <c r="I35" s="5">
        <f>Table341011[[#This Row],[  35-39]]-Table3410111213[[#This Row],[  35-39]]</f>
        <v>242</v>
      </c>
      <c r="J35" s="5">
        <f>Table341011[[#This Row],[  40-44]]-Table3410111213[[#This Row],[  40-44]]</f>
        <v>170</v>
      </c>
      <c r="K35" s="5">
        <f>Table341011[[#This Row],[  45-49 ]]-Table3410111213[[#This Row],[  45-49 ]]</f>
        <v>168</v>
      </c>
      <c r="L35" s="5">
        <f>Table341011[[#This Row],[  50-54]]-Table3410111213[[#This Row],[  50-54]]</f>
        <v>146</v>
      </c>
      <c r="M35" s="5">
        <f>Table341011[[#This Row],[  55-59]]-Table3410111213[[#This Row],[  55-59]]</f>
        <v>172</v>
      </c>
      <c r="N35" s="5">
        <f>Table341011[[#This Row],[  60-64]]-Table3410111213[[#This Row],[  60-64]]</f>
        <v>136</v>
      </c>
      <c r="O35" s="5">
        <f>Table341011[[#This Row],[  65-69]]-Table3410111213[[#This Row],[  65-69]]</f>
        <v>98</v>
      </c>
      <c r="P35" s="5">
        <f>Table341011[[#This Row],[  70-74]]-Table3410111213[[#This Row],[  70-74]]</f>
        <v>63</v>
      </c>
      <c r="Q35" s="5">
        <f>Table341011[[#This Row],[  75-79]]-Table3410111213[[#This Row],[  75-79]]</f>
        <v>34</v>
      </c>
      <c r="R35" s="5">
        <f>Table341011[[#This Row],[  80-84]]-Table3410111213[[#This Row],[  80-84]]</f>
        <v>30</v>
      </c>
      <c r="S35" s="5">
        <f>Table341011[[#This Row],[  85-89]]-Table3410111213[[#This Row],[  85-89]]</f>
        <v>6</v>
      </c>
      <c r="T35" s="5">
        <f>Table341011[[#This Row],[  90+]]-Table3410111213[[#This Row],[  90+]]</f>
        <v>5</v>
      </c>
    </row>
    <row r="36" spans="1:20" x14ac:dyDescent="0.2">
      <c r="A36" s="9" t="s">
        <v>12</v>
      </c>
      <c r="B36" s="6" t="s">
        <v>0</v>
      </c>
      <c r="C36" s="5">
        <f>Table341011[[#This Row],[Total]]-Table3410111213[[#This Row],[Total]]</f>
        <v>1239</v>
      </c>
      <c r="D36" s="5">
        <f>Table341011[[#This Row],[  5-11]]-Table3410111213[[#This Row],[  5-11]]</f>
        <v>9</v>
      </c>
      <c r="E36" s="5">
        <f>Table341011[[#This Row],[  12-17]]-Table3410111213[[#This Row],[  12-17]]</f>
        <v>38</v>
      </c>
      <c r="F36" s="5">
        <f>Table341011[[#This Row],[  18-24]]-Table3410111213[[#This Row],[  18-24]]</f>
        <v>127</v>
      </c>
      <c r="G36" s="5">
        <f>Table341011[[#This Row],[  25-29 ]]-Table3410111213[[#This Row],[  25-29 ]]</f>
        <v>188</v>
      </c>
      <c r="H36" s="5">
        <f>Table341011[[#This Row],[  30-34]]-Table3410111213[[#This Row],[  30-34]]</f>
        <v>197</v>
      </c>
      <c r="I36" s="5">
        <f>Table341011[[#This Row],[  35-39]]-Table3410111213[[#This Row],[  35-39]]</f>
        <v>150</v>
      </c>
      <c r="J36" s="5">
        <f>Table341011[[#This Row],[  40-44]]-Table3410111213[[#This Row],[  40-44]]</f>
        <v>113</v>
      </c>
      <c r="K36" s="5">
        <f>Table341011[[#This Row],[  45-49 ]]-Table3410111213[[#This Row],[  45-49 ]]</f>
        <v>100</v>
      </c>
      <c r="L36" s="5">
        <f>Table341011[[#This Row],[  50-54]]-Table3410111213[[#This Row],[  50-54]]</f>
        <v>65</v>
      </c>
      <c r="M36" s="5">
        <f>Table341011[[#This Row],[  55-59]]-Table3410111213[[#This Row],[  55-59]]</f>
        <v>88</v>
      </c>
      <c r="N36" s="5">
        <f>Table341011[[#This Row],[  60-64]]-Table3410111213[[#This Row],[  60-64]]</f>
        <v>62</v>
      </c>
      <c r="O36" s="5">
        <f>Table341011[[#This Row],[  65-69]]-Table3410111213[[#This Row],[  65-69]]</f>
        <v>44</v>
      </c>
      <c r="P36" s="5">
        <f>Table341011[[#This Row],[  70-74]]-Table3410111213[[#This Row],[  70-74]]</f>
        <v>30</v>
      </c>
      <c r="Q36" s="5">
        <f>Table341011[[#This Row],[  75-79]]-Table3410111213[[#This Row],[  75-79]]</f>
        <v>19</v>
      </c>
      <c r="R36" s="5">
        <f>Table341011[[#This Row],[  80-84]]-Table3410111213[[#This Row],[  80-84]]</f>
        <v>9</v>
      </c>
      <c r="S36" s="5">
        <f>Table341011[[#This Row],[  85-89]]-Table3410111213[[#This Row],[  85-89]]</f>
        <v>0</v>
      </c>
      <c r="T36" s="5">
        <f>Table341011[[#This Row],[  90+]]-Table3410111213[[#This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Table341011[[#This Row],[Total]]-Table3410111213[[#This Row],[Total]]</f>
        <v>933</v>
      </c>
      <c r="D37" s="5">
        <f>Table341011[[#This Row],[  5-11]]-Table3410111213[[#This Row],[  5-11]]</f>
        <v>8</v>
      </c>
      <c r="E37" s="5">
        <f>Table341011[[#This Row],[  12-17]]-Table3410111213[[#This Row],[  12-17]]</f>
        <v>42</v>
      </c>
      <c r="F37" s="5">
        <f>Table341011[[#This Row],[  18-24]]-Table3410111213[[#This Row],[  18-24]]</f>
        <v>84</v>
      </c>
      <c r="G37" s="5">
        <f>Table341011[[#This Row],[  25-29 ]]-Table3410111213[[#This Row],[  25-29 ]]</f>
        <v>104</v>
      </c>
      <c r="H37" s="5">
        <f>Table341011[[#This Row],[  30-34]]-Table3410111213[[#This Row],[  30-34]]</f>
        <v>105</v>
      </c>
      <c r="I37" s="5">
        <f>Table341011[[#This Row],[  35-39]]-Table3410111213[[#This Row],[  35-39]]</f>
        <v>92</v>
      </c>
      <c r="J37" s="5">
        <f>Table341011[[#This Row],[  40-44]]-Table3410111213[[#This Row],[  40-44]]</f>
        <v>57</v>
      </c>
      <c r="K37" s="5">
        <f>Table341011[[#This Row],[  45-49 ]]-Table3410111213[[#This Row],[  45-49 ]]</f>
        <v>68</v>
      </c>
      <c r="L37" s="5">
        <f>Table341011[[#This Row],[  50-54]]-Table3410111213[[#This Row],[  50-54]]</f>
        <v>81</v>
      </c>
      <c r="M37" s="5">
        <f>Table341011[[#This Row],[  55-59]]-Table3410111213[[#This Row],[  55-59]]</f>
        <v>84</v>
      </c>
      <c r="N37" s="5">
        <f>Table341011[[#This Row],[  60-64]]-Table3410111213[[#This Row],[  60-64]]</f>
        <v>74</v>
      </c>
      <c r="O37" s="5">
        <f>Table341011[[#This Row],[  65-69]]-Table3410111213[[#This Row],[  65-69]]</f>
        <v>54</v>
      </c>
      <c r="P37" s="5">
        <f>Table341011[[#This Row],[  70-74]]-Table3410111213[[#This Row],[  70-74]]</f>
        <v>33</v>
      </c>
      <c r="Q37" s="5">
        <f>Table341011[[#This Row],[  75-79]]-Table3410111213[[#This Row],[  75-79]]</f>
        <v>15</v>
      </c>
      <c r="R37" s="5">
        <f>Table341011[[#This Row],[  80-84]]-Table3410111213[[#This Row],[  80-84]]</f>
        <v>21</v>
      </c>
      <c r="S37" s="5">
        <f>Table341011[[#This Row],[  85-89]]-Table3410111213[[#This Row],[  85-89]]</f>
        <v>6</v>
      </c>
      <c r="T37" s="5">
        <f>Table341011[[#This Row],[  90+]]-Table3410111213[[#This Row],[  90+]]</f>
        <v>5</v>
      </c>
    </row>
    <row r="38" spans="1:20" x14ac:dyDescent="0.2">
      <c r="A38" s="9" t="s">
        <v>13</v>
      </c>
      <c r="B38" s="6" t="s">
        <v>22</v>
      </c>
      <c r="C38" s="5">
        <f>Table341011[[#This Row],[Total]]-Table3410111213[[#This Row],[Total]]</f>
        <v>46801</v>
      </c>
      <c r="D38" s="5">
        <f>Table341011[[#This Row],[  5-11]]-Table3410111213[[#This Row],[  5-11]]</f>
        <v>1076</v>
      </c>
      <c r="E38" s="5">
        <f>Table341011[[#This Row],[  12-17]]-Table3410111213[[#This Row],[  12-17]]</f>
        <v>3272</v>
      </c>
      <c r="F38" s="5">
        <f>Table341011[[#This Row],[  18-24]]-Table3410111213[[#This Row],[  18-24]]</f>
        <v>3274</v>
      </c>
      <c r="G38" s="5">
        <f>Table341011[[#This Row],[  25-29 ]]-Table3410111213[[#This Row],[  25-29 ]]</f>
        <v>2864</v>
      </c>
      <c r="H38" s="5">
        <f>Table341011[[#This Row],[  30-34]]-Table3410111213[[#This Row],[  30-34]]</f>
        <v>3210</v>
      </c>
      <c r="I38" s="5">
        <f>Table341011[[#This Row],[  35-39]]-Table3410111213[[#This Row],[  35-39]]</f>
        <v>2942</v>
      </c>
      <c r="J38" s="5">
        <f>Table341011[[#This Row],[  40-44]]-Table3410111213[[#This Row],[  40-44]]</f>
        <v>2789</v>
      </c>
      <c r="K38" s="5">
        <f>Table341011[[#This Row],[  45-49 ]]-Table3410111213[[#This Row],[  45-49 ]]</f>
        <v>3100</v>
      </c>
      <c r="L38" s="5">
        <f>Table341011[[#This Row],[  50-54]]-Table3410111213[[#This Row],[  50-54]]</f>
        <v>3590</v>
      </c>
      <c r="M38" s="5">
        <f>Table341011[[#This Row],[  55-59]]-Table3410111213[[#This Row],[  55-59]]</f>
        <v>3834</v>
      </c>
      <c r="N38" s="5">
        <f>Table341011[[#This Row],[  60-64]]-Table3410111213[[#This Row],[  60-64]]</f>
        <v>3987</v>
      </c>
      <c r="O38" s="5">
        <f>Table341011[[#This Row],[  65-69]]-Table3410111213[[#This Row],[  65-69]]</f>
        <v>3618</v>
      </c>
      <c r="P38" s="5">
        <f>Table341011[[#This Row],[  70-74]]-Table3410111213[[#This Row],[  70-74]]</f>
        <v>3365</v>
      </c>
      <c r="Q38" s="5">
        <f>Table341011[[#This Row],[  75-79]]-Table3410111213[[#This Row],[  75-79]]</f>
        <v>2579</v>
      </c>
      <c r="R38" s="5">
        <f>Table341011[[#This Row],[  80-84]]-Table3410111213[[#This Row],[  80-84]]</f>
        <v>1810</v>
      </c>
      <c r="S38" s="5">
        <f>Table341011[[#This Row],[  85-89]]-Table3410111213[[#This Row],[  85-89]]</f>
        <v>963</v>
      </c>
      <c r="T38" s="5">
        <f>Table341011[[#This Row],[  90+]]-Table3410111213[[#This Row],[  90+]]</f>
        <v>528</v>
      </c>
    </row>
    <row r="39" spans="1:20" x14ac:dyDescent="0.2">
      <c r="A39" s="9" t="s">
        <v>13</v>
      </c>
      <c r="B39" s="6" t="s">
        <v>0</v>
      </c>
      <c r="C39" s="5">
        <f>Table341011[[#This Row],[Total]]-Table3410111213[[#This Row],[Total]]</f>
        <v>23552</v>
      </c>
      <c r="D39" s="5">
        <f>Table341011[[#This Row],[  5-11]]-Table3410111213[[#This Row],[  5-11]]</f>
        <v>535</v>
      </c>
      <c r="E39" s="5">
        <f>Table341011[[#This Row],[  12-17]]-Table3410111213[[#This Row],[  12-17]]</f>
        <v>1722</v>
      </c>
      <c r="F39" s="5">
        <f>Table341011[[#This Row],[  18-24]]-Table3410111213[[#This Row],[  18-24]]</f>
        <v>1821</v>
      </c>
      <c r="G39" s="5">
        <f>Table341011[[#This Row],[  25-29 ]]-Table3410111213[[#This Row],[  25-29 ]]</f>
        <v>1537</v>
      </c>
      <c r="H39" s="5">
        <f>Table341011[[#This Row],[  30-34]]-Table3410111213[[#This Row],[  30-34]]</f>
        <v>1638</v>
      </c>
      <c r="I39" s="5">
        <f>Table341011[[#This Row],[  35-39]]-Table3410111213[[#This Row],[  35-39]]</f>
        <v>1508</v>
      </c>
      <c r="J39" s="5">
        <f>Table341011[[#This Row],[  40-44]]-Table3410111213[[#This Row],[  40-44]]</f>
        <v>1381</v>
      </c>
      <c r="K39" s="5">
        <f>Table341011[[#This Row],[  45-49 ]]-Table3410111213[[#This Row],[  45-49 ]]</f>
        <v>1576</v>
      </c>
      <c r="L39" s="5">
        <f>Table341011[[#This Row],[  50-54]]-Table3410111213[[#This Row],[  50-54]]</f>
        <v>1780</v>
      </c>
      <c r="M39" s="5">
        <f>Table341011[[#This Row],[  55-59]]-Table3410111213[[#This Row],[  55-59]]</f>
        <v>1848</v>
      </c>
      <c r="N39" s="5">
        <f>Table341011[[#This Row],[  60-64]]-Table3410111213[[#This Row],[  60-64]]</f>
        <v>2000</v>
      </c>
      <c r="O39" s="5">
        <f>Table341011[[#This Row],[  65-69]]-Table3410111213[[#This Row],[  65-69]]</f>
        <v>1869</v>
      </c>
      <c r="P39" s="5">
        <f>Table341011[[#This Row],[  70-74]]-Table3410111213[[#This Row],[  70-74]]</f>
        <v>1669</v>
      </c>
      <c r="Q39" s="5">
        <f>Table341011[[#This Row],[  75-79]]-Table3410111213[[#This Row],[  75-79]]</f>
        <v>1239</v>
      </c>
      <c r="R39" s="5">
        <f>Table341011[[#This Row],[  80-84]]-Table3410111213[[#This Row],[  80-84]]</f>
        <v>837</v>
      </c>
      <c r="S39" s="5">
        <f>Table341011[[#This Row],[  85-89]]-Table3410111213[[#This Row],[  85-89]]</f>
        <v>393</v>
      </c>
      <c r="T39" s="5">
        <f>Table341011[[#This Row],[  90+]]-Table3410111213[[#This Row],[  90+]]</f>
        <v>199</v>
      </c>
    </row>
    <row r="40" spans="1:20" x14ac:dyDescent="0.2">
      <c r="A40" s="9" t="s">
        <v>13</v>
      </c>
      <c r="B40" s="6" t="s">
        <v>23</v>
      </c>
      <c r="C40" s="5">
        <f>Table341011[[#This Row],[Total]]-Table3410111213[[#This Row],[Total]]</f>
        <v>23249</v>
      </c>
      <c r="D40" s="5">
        <f>Table341011[[#This Row],[  5-11]]-Table3410111213[[#This Row],[  5-11]]</f>
        <v>541</v>
      </c>
      <c r="E40" s="5">
        <f>Table341011[[#This Row],[  12-17]]-Table3410111213[[#This Row],[  12-17]]</f>
        <v>1550</v>
      </c>
      <c r="F40" s="5">
        <f>Table341011[[#This Row],[  18-24]]-Table3410111213[[#This Row],[  18-24]]</f>
        <v>1453</v>
      </c>
      <c r="G40" s="5">
        <f>Table341011[[#This Row],[  25-29 ]]-Table3410111213[[#This Row],[  25-29 ]]</f>
        <v>1327</v>
      </c>
      <c r="H40" s="5">
        <f>Table341011[[#This Row],[  30-34]]-Table3410111213[[#This Row],[  30-34]]</f>
        <v>1572</v>
      </c>
      <c r="I40" s="5">
        <f>Table341011[[#This Row],[  35-39]]-Table3410111213[[#This Row],[  35-39]]</f>
        <v>1434</v>
      </c>
      <c r="J40" s="5">
        <f>Table341011[[#This Row],[  40-44]]-Table3410111213[[#This Row],[  40-44]]</f>
        <v>1408</v>
      </c>
      <c r="K40" s="5">
        <f>Table341011[[#This Row],[  45-49 ]]-Table3410111213[[#This Row],[  45-49 ]]</f>
        <v>1524</v>
      </c>
      <c r="L40" s="5">
        <f>Table341011[[#This Row],[  50-54]]-Table3410111213[[#This Row],[  50-54]]</f>
        <v>1810</v>
      </c>
      <c r="M40" s="5">
        <f>Table341011[[#This Row],[  55-59]]-Table3410111213[[#This Row],[  55-59]]</f>
        <v>1986</v>
      </c>
      <c r="N40" s="5">
        <f>Table341011[[#This Row],[  60-64]]-Table3410111213[[#This Row],[  60-64]]</f>
        <v>1987</v>
      </c>
      <c r="O40" s="5">
        <f>Table341011[[#This Row],[  65-69]]-Table3410111213[[#This Row],[  65-69]]</f>
        <v>1749</v>
      </c>
      <c r="P40" s="5">
        <f>Table341011[[#This Row],[  70-74]]-Table3410111213[[#This Row],[  70-74]]</f>
        <v>1696</v>
      </c>
      <c r="Q40" s="5">
        <f>Table341011[[#This Row],[  75-79]]-Table3410111213[[#This Row],[  75-79]]</f>
        <v>1340</v>
      </c>
      <c r="R40" s="5">
        <f>Table341011[[#This Row],[  80-84]]-Table3410111213[[#This Row],[  80-84]]</f>
        <v>973</v>
      </c>
      <c r="S40" s="5">
        <f>Table341011[[#This Row],[  85-89]]-Table3410111213[[#This Row],[  85-89]]</f>
        <v>570</v>
      </c>
      <c r="T40" s="5">
        <f>Table341011[[#This Row],[  90+]]-Table3410111213[[#This Row],[  90+]]</f>
        <v>329</v>
      </c>
    </row>
    <row r="41" spans="1:20" x14ac:dyDescent="0.2">
      <c r="A41" s="9" t="s">
        <v>14</v>
      </c>
      <c r="B41" s="6" t="s">
        <v>22</v>
      </c>
      <c r="C41" s="5">
        <f>Table341011[[#This Row],[Total]]-Table3410111213[[#This Row],[Total]]</f>
        <v>265606</v>
      </c>
      <c r="D41" s="5">
        <f>Table341011[[#This Row],[  5-11]]-Table3410111213[[#This Row],[  5-11]]</f>
        <v>7169</v>
      </c>
      <c r="E41" s="5">
        <f>Table341011[[#This Row],[  12-17]]-Table3410111213[[#This Row],[  12-17]]</f>
        <v>17308</v>
      </c>
      <c r="F41" s="5">
        <f>Table341011[[#This Row],[  18-24]]-Table3410111213[[#This Row],[  18-24]]</f>
        <v>31139</v>
      </c>
      <c r="G41" s="5">
        <f>Table341011[[#This Row],[  25-29 ]]-Table3410111213[[#This Row],[  25-29 ]]</f>
        <v>19902</v>
      </c>
      <c r="H41" s="5">
        <f>Table341011[[#This Row],[  30-34]]-Table3410111213[[#This Row],[  30-34]]</f>
        <v>21289</v>
      </c>
      <c r="I41" s="5">
        <f>Table341011[[#This Row],[  35-39]]-Table3410111213[[#This Row],[  35-39]]</f>
        <v>19379</v>
      </c>
      <c r="J41" s="5">
        <f>Table341011[[#This Row],[  40-44]]-Table3410111213[[#This Row],[  40-44]]</f>
        <v>17611</v>
      </c>
      <c r="K41" s="5">
        <f>Table341011[[#This Row],[  45-49 ]]-Table3410111213[[#This Row],[  45-49 ]]</f>
        <v>17822</v>
      </c>
      <c r="L41" s="5">
        <f>Table341011[[#This Row],[  50-54]]-Table3410111213[[#This Row],[  50-54]]</f>
        <v>18955</v>
      </c>
      <c r="M41" s="5">
        <f>Table341011[[#This Row],[  55-59]]-Table3410111213[[#This Row],[  55-59]]</f>
        <v>18881</v>
      </c>
      <c r="N41" s="5">
        <f>Table341011[[#This Row],[  60-64]]-Table3410111213[[#This Row],[  60-64]]</f>
        <v>19675</v>
      </c>
      <c r="O41" s="5">
        <f>Table341011[[#This Row],[  65-69]]-Table3410111213[[#This Row],[  65-69]]</f>
        <v>17175</v>
      </c>
      <c r="P41" s="5">
        <f>Table341011[[#This Row],[  70-74]]-Table3410111213[[#This Row],[  70-74]]</f>
        <v>14650</v>
      </c>
      <c r="Q41" s="5">
        <f>Table341011[[#This Row],[  75-79]]-Table3410111213[[#This Row],[  75-79]]</f>
        <v>10907</v>
      </c>
      <c r="R41" s="5">
        <f>Table341011[[#This Row],[  80-84]]-Table3410111213[[#This Row],[  80-84]]</f>
        <v>7381</v>
      </c>
      <c r="S41" s="5">
        <f>Table341011[[#This Row],[  85-89]]-Table3410111213[[#This Row],[  85-89]]</f>
        <v>4011</v>
      </c>
      <c r="T41" s="5">
        <f>Table341011[[#This Row],[  90+]]-Table3410111213[[#This Row],[  90+]]</f>
        <v>2352</v>
      </c>
    </row>
    <row r="42" spans="1:20" x14ac:dyDescent="0.2">
      <c r="A42" s="9" t="s">
        <v>14</v>
      </c>
      <c r="B42" s="6" t="s">
        <v>0</v>
      </c>
      <c r="C42" s="5">
        <f>Table341011[[#This Row],[Total]]-Table3410111213[[#This Row],[Total]]</f>
        <v>131589</v>
      </c>
      <c r="D42" s="5">
        <f>Table341011[[#This Row],[  5-11]]-Table3410111213[[#This Row],[  5-11]]</f>
        <v>3619</v>
      </c>
      <c r="E42" s="5">
        <f>Table341011[[#This Row],[  12-17]]-Table3410111213[[#This Row],[  12-17]]</f>
        <v>8949</v>
      </c>
      <c r="F42" s="5">
        <f>Table341011[[#This Row],[  18-24]]-Table3410111213[[#This Row],[  18-24]]</f>
        <v>14844</v>
      </c>
      <c r="G42" s="5">
        <f>Table341011[[#This Row],[  25-29 ]]-Table3410111213[[#This Row],[  25-29 ]]</f>
        <v>10380</v>
      </c>
      <c r="H42" s="5">
        <f>Table341011[[#This Row],[  30-34]]-Table3410111213[[#This Row],[  30-34]]</f>
        <v>10946</v>
      </c>
      <c r="I42" s="5">
        <f>Table341011[[#This Row],[  35-39]]-Table3410111213[[#This Row],[  35-39]]</f>
        <v>9813</v>
      </c>
      <c r="J42" s="5">
        <f>Table341011[[#This Row],[  40-44]]-Table3410111213[[#This Row],[  40-44]]</f>
        <v>8731</v>
      </c>
      <c r="K42" s="5">
        <f>Table341011[[#This Row],[  45-49 ]]-Table3410111213[[#This Row],[  45-49 ]]</f>
        <v>8903</v>
      </c>
      <c r="L42" s="5">
        <f>Table341011[[#This Row],[  50-54]]-Table3410111213[[#This Row],[  50-54]]</f>
        <v>9372</v>
      </c>
      <c r="M42" s="5">
        <f>Table341011[[#This Row],[  55-59]]-Table3410111213[[#This Row],[  55-59]]</f>
        <v>9272</v>
      </c>
      <c r="N42" s="5">
        <f>Table341011[[#This Row],[  60-64]]-Table3410111213[[#This Row],[  60-64]]</f>
        <v>9743</v>
      </c>
      <c r="O42" s="5">
        <f>Table341011[[#This Row],[  65-69]]-Table3410111213[[#This Row],[  65-69]]</f>
        <v>8688</v>
      </c>
      <c r="P42" s="5">
        <f>Table341011[[#This Row],[  70-74]]-Table3410111213[[#This Row],[  70-74]]</f>
        <v>7329</v>
      </c>
      <c r="Q42" s="5">
        <f>Table341011[[#This Row],[  75-79]]-Table3410111213[[#This Row],[  75-79]]</f>
        <v>5247</v>
      </c>
      <c r="R42" s="5">
        <f>Table341011[[#This Row],[  80-84]]-Table3410111213[[#This Row],[  80-84]]</f>
        <v>3316</v>
      </c>
      <c r="S42" s="5">
        <f>Table341011[[#This Row],[  85-89]]-Table3410111213[[#This Row],[  85-89]]</f>
        <v>1673</v>
      </c>
      <c r="T42" s="5">
        <f>Table341011[[#This Row],[  90+]]-Table3410111213[[#This Row],[  90+]]</f>
        <v>764</v>
      </c>
    </row>
    <row r="43" spans="1:20" x14ac:dyDescent="0.2">
      <c r="A43" s="9" t="s">
        <v>14</v>
      </c>
      <c r="B43" s="6" t="s">
        <v>23</v>
      </c>
      <c r="C43" s="5">
        <f>Table341011[[#This Row],[Total]]-Table3410111213[[#This Row],[Total]]</f>
        <v>134017</v>
      </c>
      <c r="D43" s="5">
        <f>Table341011[[#This Row],[  5-11]]-Table3410111213[[#This Row],[  5-11]]</f>
        <v>3550</v>
      </c>
      <c r="E43" s="5">
        <f>Table341011[[#This Row],[  12-17]]-Table3410111213[[#This Row],[  12-17]]</f>
        <v>8359</v>
      </c>
      <c r="F43" s="5">
        <f>Table341011[[#This Row],[  18-24]]-Table3410111213[[#This Row],[  18-24]]</f>
        <v>16295</v>
      </c>
      <c r="G43" s="5">
        <f>Table341011[[#This Row],[  25-29 ]]-Table3410111213[[#This Row],[  25-29 ]]</f>
        <v>9522</v>
      </c>
      <c r="H43" s="5">
        <f>Table341011[[#This Row],[  30-34]]-Table3410111213[[#This Row],[  30-34]]</f>
        <v>10343</v>
      </c>
      <c r="I43" s="5">
        <f>Table341011[[#This Row],[  35-39]]-Table3410111213[[#This Row],[  35-39]]</f>
        <v>9566</v>
      </c>
      <c r="J43" s="5">
        <f>Table341011[[#This Row],[  40-44]]-Table3410111213[[#This Row],[  40-44]]</f>
        <v>8880</v>
      </c>
      <c r="K43" s="5">
        <f>Table341011[[#This Row],[  45-49 ]]-Table3410111213[[#This Row],[  45-49 ]]</f>
        <v>8919</v>
      </c>
      <c r="L43" s="5">
        <f>Table341011[[#This Row],[  50-54]]-Table3410111213[[#This Row],[  50-54]]</f>
        <v>9583</v>
      </c>
      <c r="M43" s="5">
        <f>Table341011[[#This Row],[  55-59]]-Table3410111213[[#This Row],[  55-59]]</f>
        <v>9609</v>
      </c>
      <c r="N43" s="5">
        <f>Table341011[[#This Row],[  60-64]]-Table3410111213[[#This Row],[  60-64]]</f>
        <v>9932</v>
      </c>
      <c r="O43" s="5">
        <f>Table341011[[#This Row],[  65-69]]-Table3410111213[[#This Row],[  65-69]]</f>
        <v>8487</v>
      </c>
      <c r="P43" s="5">
        <f>Table341011[[#This Row],[  70-74]]-Table3410111213[[#This Row],[  70-74]]</f>
        <v>7321</v>
      </c>
      <c r="Q43" s="5">
        <f>Table341011[[#This Row],[  75-79]]-Table3410111213[[#This Row],[  75-79]]</f>
        <v>5660</v>
      </c>
      <c r="R43" s="5">
        <f>Table341011[[#This Row],[  80-84]]-Table3410111213[[#This Row],[  80-84]]</f>
        <v>4065</v>
      </c>
      <c r="S43" s="5">
        <f>Table341011[[#This Row],[  85-89]]-Table3410111213[[#This Row],[  85-89]]</f>
        <v>2338</v>
      </c>
      <c r="T43" s="5">
        <f>Table341011[[#This Row],[  90+]]-Table3410111213[[#This Row],[  90+]]</f>
        <v>1588</v>
      </c>
    </row>
    <row r="44" spans="1:20" x14ac:dyDescent="0.2">
      <c r="A44" s="9" t="s">
        <v>15</v>
      </c>
      <c r="B44" s="6" t="s">
        <v>22</v>
      </c>
      <c r="C44" s="5">
        <f>Table341011[[#This Row],[Total]]-Table3410111213[[#This Row],[Total]]</f>
        <v>21178</v>
      </c>
      <c r="D44" s="5">
        <f>Table341011[[#This Row],[  5-11]]-Table3410111213[[#This Row],[  5-11]]</f>
        <v>626</v>
      </c>
      <c r="E44" s="5">
        <f>Table341011[[#This Row],[  12-17]]-Table3410111213[[#This Row],[  12-17]]</f>
        <v>1437</v>
      </c>
      <c r="F44" s="5">
        <f>Table341011[[#This Row],[  18-24]]-Table3410111213[[#This Row],[  18-24]]</f>
        <v>1420</v>
      </c>
      <c r="G44" s="5">
        <f>Table341011[[#This Row],[  25-29 ]]-Table3410111213[[#This Row],[  25-29 ]]</f>
        <v>1370</v>
      </c>
      <c r="H44" s="5">
        <f>Table341011[[#This Row],[  30-34]]-Table3410111213[[#This Row],[  30-34]]</f>
        <v>1583</v>
      </c>
      <c r="I44" s="5">
        <f>Table341011[[#This Row],[  35-39]]-Table3410111213[[#This Row],[  35-39]]</f>
        <v>1440</v>
      </c>
      <c r="J44" s="5">
        <f>Table341011[[#This Row],[  40-44]]-Table3410111213[[#This Row],[  40-44]]</f>
        <v>1377</v>
      </c>
      <c r="K44" s="5">
        <f>Table341011[[#This Row],[  45-49 ]]-Table3410111213[[#This Row],[  45-49 ]]</f>
        <v>1474</v>
      </c>
      <c r="L44" s="5">
        <f>Table341011[[#This Row],[  50-54]]-Table3410111213[[#This Row],[  50-54]]</f>
        <v>1528</v>
      </c>
      <c r="M44" s="5">
        <f>Table341011[[#This Row],[  55-59]]-Table3410111213[[#This Row],[  55-59]]</f>
        <v>1617</v>
      </c>
      <c r="N44" s="5">
        <f>Table341011[[#This Row],[  60-64]]-Table3410111213[[#This Row],[  60-64]]</f>
        <v>1727</v>
      </c>
      <c r="O44" s="5">
        <f>Table341011[[#This Row],[  65-69]]-Table3410111213[[#This Row],[  65-69]]</f>
        <v>1577</v>
      </c>
      <c r="P44" s="5">
        <f>Table341011[[#This Row],[  70-74]]-Table3410111213[[#This Row],[  70-74]]</f>
        <v>1477</v>
      </c>
      <c r="Q44" s="5">
        <f>Table341011[[#This Row],[  75-79]]-Table3410111213[[#This Row],[  75-79]]</f>
        <v>1069</v>
      </c>
      <c r="R44" s="5">
        <f>Table341011[[#This Row],[  80-84]]-Table3410111213[[#This Row],[  80-84]]</f>
        <v>776</v>
      </c>
      <c r="S44" s="5">
        <f>Table341011[[#This Row],[  85-89]]-Table3410111213[[#This Row],[  85-89]]</f>
        <v>402</v>
      </c>
      <c r="T44" s="5">
        <f>Table341011[[#This Row],[  90+]]-Table3410111213[[#This Row],[  90+]]</f>
        <v>278</v>
      </c>
    </row>
    <row r="45" spans="1:20" x14ac:dyDescent="0.2">
      <c r="A45" s="9" t="s">
        <v>15</v>
      </c>
      <c r="B45" s="6" t="s">
        <v>0</v>
      </c>
      <c r="C45" s="5">
        <f>Table341011[[#This Row],[Total]]-Table3410111213[[#This Row],[Total]]</f>
        <v>10709</v>
      </c>
      <c r="D45" s="5">
        <f>Table341011[[#This Row],[  5-11]]-Table3410111213[[#This Row],[  5-11]]</f>
        <v>321</v>
      </c>
      <c r="E45" s="5">
        <f>Table341011[[#This Row],[  12-17]]-Table3410111213[[#This Row],[  12-17]]</f>
        <v>719</v>
      </c>
      <c r="F45" s="5">
        <f>Table341011[[#This Row],[  18-24]]-Table3410111213[[#This Row],[  18-24]]</f>
        <v>784</v>
      </c>
      <c r="G45" s="5">
        <f>Table341011[[#This Row],[  25-29 ]]-Table3410111213[[#This Row],[  25-29 ]]</f>
        <v>747</v>
      </c>
      <c r="H45" s="5">
        <f>Table341011[[#This Row],[  30-34]]-Table3410111213[[#This Row],[  30-34]]</f>
        <v>846</v>
      </c>
      <c r="I45" s="5">
        <f>Table341011[[#This Row],[  35-39]]-Table3410111213[[#This Row],[  35-39]]</f>
        <v>749</v>
      </c>
      <c r="J45" s="5">
        <f>Table341011[[#This Row],[  40-44]]-Table3410111213[[#This Row],[  40-44]]</f>
        <v>654</v>
      </c>
      <c r="K45" s="5">
        <f>Table341011[[#This Row],[  45-49 ]]-Table3410111213[[#This Row],[  45-49 ]]</f>
        <v>770</v>
      </c>
      <c r="L45" s="5">
        <f>Table341011[[#This Row],[  50-54]]-Table3410111213[[#This Row],[  50-54]]</f>
        <v>760</v>
      </c>
      <c r="M45" s="5">
        <f>Table341011[[#This Row],[  55-59]]-Table3410111213[[#This Row],[  55-59]]</f>
        <v>798</v>
      </c>
      <c r="N45" s="5">
        <f>Table341011[[#This Row],[  60-64]]-Table3410111213[[#This Row],[  60-64]]</f>
        <v>850</v>
      </c>
      <c r="O45" s="5">
        <f>Table341011[[#This Row],[  65-69]]-Table3410111213[[#This Row],[  65-69]]</f>
        <v>814</v>
      </c>
      <c r="P45" s="5">
        <f>Table341011[[#This Row],[  70-74]]-Table3410111213[[#This Row],[  70-74]]</f>
        <v>735</v>
      </c>
      <c r="Q45" s="5">
        <f>Table341011[[#This Row],[  75-79]]-Table3410111213[[#This Row],[  75-79]]</f>
        <v>541</v>
      </c>
      <c r="R45" s="5">
        <f>Table341011[[#This Row],[  80-84]]-Table3410111213[[#This Row],[  80-84]]</f>
        <v>352</v>
      </c>
      <c r="S45" s="5">
        <f>Table341011[[#This Row],[  85-89]]-Table3410111213[[#This Row],[  85-89]]</f>
        <v>168</v>
      </c>
      <c r="T45" s="5">
        <f>Table341011[[#This Row],[  90+]]-Table3410111213[[#This Row],[  90+]]</f>
        <v>101</v>
      </c>
    </row>
    <row r="46" spans="1:20" x14ac:dyDescent="0.2">
      <c r="A46" s="9" t="s">
        <v>15</v>
      </c>
      <c r="B46" s="6" t="s">
        <v>23</v>
      </c>
      <c r="C46" s="5">
        <f>Table341011[[#This Row],[Total]]-Table3410111213[[#This Row],[Total]]</f>
        <v>10469</v>
      </c>
      <c r="D46" s="5">
        <f>Table341011[[#This Row],[  5-11]]-Table3410111213[[#This Row],[  5-11]]</f>
        <v>305</v>
      </c>
      <c r="E46" s="5">
        <f>Table341011[[#This Row],[  12-17]]-Table3410111213[[#This Row],[  12-17]]</f>
        <v>718</v>
      </c>
      <c r="F46" s="5">
        <f>Table341011[[#This Row],[  18-24]]-Table3410111213[[#This Row],[  18-24]]</f>
        <v>636</v>
      </c>
      <c r="G46" s="5">
        <f>Table341011[[#This Row],[  25-29 ]]-Table3410111213[[#This Row],[  25-29 ]]</f>
        <v>623</v>
      </c>
      <c r="H46" s="5">
        <f>Table341011[[#This Row],[  30-34]]-Table3410111213[[#This Row],[  30-34]]</f>
        <v>737</v>
      </c>
      <c r="I46" s="5">
        <f>Table341011[[#This Row],[  35-39]]-Table3410111213[[#This Row],[  35-39]]</f>
        <v>691</v>
      </c>
      <c r="J46" s="5">
        <f>Table341011[[#This Row],[  40-44]]-Table3410111213[[#This Row],[  40-44]]</f>
        <v>723</v>
      </c>
      <c r="K46" s="5">
        <f>Table341011[[#This Row],[  45-49 ]]-Table3410111213[[#This Row],[  45-49 ]]</f>
        <v>704</v>
      </c>
      <c r="L46" s="5">
        <f>Table341011[[#This Row],[  50-54]]-Table3410111213[[#This Row],[  50-54]]</f>
        <v>768</v>
      </c>
      <c r="M46" s="5">
        <f>Table341011[[#This Row],[  55-59]]-Table3410111213[[#This Row],[  55-59]]</f>
        <v>819</v>
      </c>
      <c r="N46" s="5">
        <f>Table341011[[#This Row],[  60-64]]-Table3410111213[[#This Row],[  60-64]]</f>
        <v>877</v>
      </c>
      <c r="O46" s="5">
        <f>Table341011[[#This Row],[  65-69]]-Table3410111213[[#This Row],[  65-69]]</f>
        <v>763</v>
      </c>
      <c r="P46" s="5">
        <f>Table341011[[#This Row],[  70-74]]-Table3410111213[[#This Row],[  70-74]]</f>
        <v>742</v>
      </c>
      <c r="Q46" s="5">
        <f>Table341011[[#This Row],[  75-79]]-Table3410111213[[#This Row],[  75-79]]</f>
        <v>528</v>
      </c>
      <c r="R46" s="5">
        <f>Table341011[[#This Row],[  80-84]]-Table3410111213[[#This Row],[  80-84]]</f>
        <v>424</v>
      </c>
      <c r="S46" s="5">
        <f>Table341011[[#This Row],[  85-89]]-Table3410111213[[#This Row],[  85-89]]</f>
        <v>234</v>
      </c>
      <c r="T46" s="5">
        <f>Table341011[[#This Row],[  90+]]-Table3410111213[[#This Row],[  90+]]</f>
        <v>177</v>
      </c>
    </row>
    <row r="47" spans="1:20" x14ac:dyDescent="0.2">
      <c r="A47" s="9" t="s">
        <v>16</v>
      </c>
      <c r="B47" s="6" t="s">
        <v>22</v>
      </c>
      <c r="C47" s="5">
        <f>Table341011[[#This Row],[Total]]-Table3410111213[[#This Row],[Total]]</f>
        <v>83554</v>
      </c>
      <c r="D47" s="5">
        <f>Table341011[[#This Row],[  5-11]]-Table3410111213[[#This Row],[  5-11]]</f>
        <v>2371</v>
      </c>
      <c r="E47" s="5">
        <f>Table341011[[#This Row],[  12-17]]-Table3410111213[[#This Row],[  12-17]]</f>
        <v>6306</v>
      </c>
      <c r="F47" s="5">
        <f>Table341011[[#This Row],[  18-24]]-Table3410111213[[#This Row],[  18-24]]</f>
        <v>6105</v>
      </c>
      <c r="G47" s="5">
        <f>Table341011[[#This Row],[  25-29 ]]-Table3410111213[[#This Row],[  25-29 ]]</f>
        <v>4779</v>
      </c>
      <c r="H47" s="5">
        <f>Table341011[[#This Row],[  30-34]]-Table3410111213[[#This Row],[  30-34]]</f>
        <v>5715</v>
      </c>
      <c r="I47" s="5">
        <f>Table341011[[#This Row],[  35-39]]-Table3410111213[[#This Row],[  35-39]]</f>
        <v>5889</v>
      </c>
      <c r="J47" s="5">
        <f>Table341011[[#This Row],[  40-44]]-Table3410111213[[#This Row],[  40-44]]</f>
        <v>5626</v>
      </c>
      <c r="K47" s="5">
        <f>Table341011[[#This Row],[  45-49 ]]-Table3410111213[[#This Row],[  45-49 ]]</f>
        <v>5905</v>
      </c>
      <c r="L47" s="5">
        <f>Table341011[[#This Row],[  50-54]]-Table3410111213[[#This Row],[  50-54]]</f>
        <v>6428</v>
      </c>
      <c r="M47" s="5">
        <f>Table341011[[#This Row],[  55-59]]-Table3410111213[[#This Row],[  55-59]]</f>
        <v>6369</v>
      </c>
      <c r="N47" s="5">
        <f>Table341011[[#This Row],[  60-64]]-Table3410111213[[#This Row],[  60-64]]</f>
        <v>6916</v>
      </c>
      <c r="O47" s="5">
        <f>Table341011[[#This Row],[  65-69]]-Table3410111213[[#This Row],[  65-69]]</f>
        <v>6221</v>
      </c>
      <c r="P47" s="5">
        <f>Table341011[[#This Row],[  70-74]]-Table3410111213[[#This Row],[  70-74]]</f>
        <v>5419</v>
      </c>
      <c r="Q47" s="5">
        <f>Table341011[[#This Row],[  75-79]]-Table3410111213[[#This Row],[  75-79]]</f>
        <v>4170</v>
      </c>
      <c r="R47" s="5">
        <f>Table341011[[#This Row],[  80-84]]-Table3410111213[[#This Row],[  80-84]]</f>
        <v>2737</v>
      </c>
      <c r="S47" s="5">
        <f>Table341011[[#This Row],[  85-89]]-Table3410111213[[#This Row],[  85-89]]</f>
        <v>1606</v>
      </c>
      <c r="T47" s="5">
        <f>Table341011[[#This Row],[  90+]]-Table3410111213[[#This Row],[  90+]]</f>
        <v>992</v>
      </c>
    </row>
    <row r="48" spans="1:20" x14ac:dyDescent="0.2">
      <c r="A48" s="9" t="s">
        <v>16</v>
      </c>
      <c r="B48" s="6" t="s">
        <v>0</v>
      </c>
      <c r="C48" s="5">
        <f>Table341011[[#This Row],[Total]]-Table3410111213[[#This Row],[Total]]</f>
        <v>41209</v>
      </c>
      <c r="D48" s="5">
        <f>Table341011[[#This Row],[  5-11]]-Table3410111213[[#This Row],[  5-11]]</f>
        <v>1226</v>
      </c>
      <c r="E48" s="5">
        <f>Table341011[[#This Row],[  12-17]]-Table3410111213[[#This Row],[  12-17]]</f>
        <v>3192</v>
      </c>
      <c r="F48" s="5">
        <f>Table341011[[#This Row],[  18-24]]-Table3410111213[[#This Row],[  18-24]]</f>
        <v>3285</v>
      </c>
      <c r="G48" s="5">
        <f>Table341011[[#This Row],[  25-29 ]]-Table3410111213[[#This Row],[  25-29 ]]</f>
        <v>2451</v>
      </c>
      <c r="H48" s="5">
        <f>Table341011[[#This Row],[  30-34]]-Table3410111213[[#This Row],[  30-34]]</f>
        <v>2756</v>
      </c>
      <c r="I48" s="5">
        <f>Table341011[[#This Row],[  35-39]]-Table3410111213[[#This Row],[  35-39]]</f>
        <v>2885</v>
      </c>
      <c r="J48" s="5">
        <f>Table341011[[#This Row],[  40-44]]-Table3410111213[[#This Row],[  40-44]]</f>
        <v>2825</v>
      </c>
      <c r="K48" s="5">
        <f>Table341011[[#This Row],[  45-49 ]]-Table3410111213[[#This Row],[  45-49 ]]</f>
        <v>2876</v>
      </c>
      <c r="L48" s="5">
        <f>Table341011[[#This Row],[  50-54]]-Table3410111213[[#This Row],[  50-54]]</f>
        <v>3172</v>
      </c>
      <c r="M48" s="5">
        <f>Table341011[[#This Row],[  55-59]]-Table3410111213[[#This Row],[  55-59]]</f>
        <v>3103</v>
      </c>
      <c r="N48" s="5">
        <f>Table341011[[#This Row],[  60-64]]-Table3410111213[[#This Row],[  60-64]]</f>
        <v>3392</v>
      </c>
      <c r="O48" s="5">
        <f>Table341011[[#This Row],[  65-69]]-Table3410111213[[#This Row],[  65-69]]</f>
        <v>3070</v>
      </c>
      <c r="P48" s="5">
        <f>Table341011[[#This Row],[  70-74]]-Table3410111213[[#This Row],[  70-74]]</f>
        <v>2697</v>
      </c>
      <c r="Q48" s="5">
        <f>Table341011[[#This Row],[  75-79]]-Table3410111213[[#This Row],[  75-79]]</f>
        <v>1988</v>
      </c>
      <c r="R48" s="5">
        <f>Table341011[[#This Row],[  80-84]]-Table3410111213[[#This Row],[  80-84]]</f>
        <v>1252</v>
      </c>
      <c r="S48" s="5">
        <f>Table341011[[#This Row],[  85-89]]-Table3410111213[[#This Row],[  85-89]]</f>
        <v>670</v>
      </c>
      <c r="T48" s="5">
        <f>Table341011[[#This Row],[  90+]]-Table3410111213[[#This Row],[  90+]]</f>
        <v>369</v>
      </c>
    </row>
    <row r="49" spans="1:21" x14ac:dyDescent="0.2">
      <c r="A49" s="9" t="s">
        <v>16</v>
      </c>
      <c r="B49" s="6" t="s">
        <v>23</v>
      </c>
      <c r="C49" s="5">
        <f>Table341011[[#This Row],[Total]]-Table3410111213[[#This Row],[Total]]</f>
        <v>42345</v>
      </c>
      <c r="D49" s="5">
        <f>Table341011[[#This Row],[  5-11]]-Table3410111213[[#This Row],[  5-11]]</f>
        <v>1145</v>
      </c>
      <c r="E49" s="5">
        <f>Table341011[[#This Row],[  12-17]]-Table3410111213[[#This Row],[  12-17]]</f>
        <v>3114</v>
      </c>
      <c r="F49" s="5">
        <f>Table341011[[#This Row],[  18-24]]-Table3410111213[[#This Row],[  18-24]]</f>
        <v>2820</v>
      </c>
      <c r="G49" s="5">
        <f>Table341011[[#This Row],[  25-29 ]]-Table3410111213[[#This Row],[  25-29 ]]</f>
        <v>2328</v>
      </c>
      <c r="H49" s="5">
        <f>Table341011[[#This Row],[  30-34]]-Table3410111213[[#This Row],[  30-34]]</f>
        <v>2959</v>
      </c>
      <c r="I49" s="5">
        <f>Table341011[[#This Row],[  35-39]]-Table3410111213[[#This Row],[  35-39]]</f>
        <v>3004</v>
      </c>
      <c r="J49" s="5">
        <f>Table341011[[#This Row],[  40-44]]-Table3410111213[[#This Row],[  40-44]]</f>
        <v>2801</v>
      </c>
      <c r="K49" s="5">
        <f>Table341011[[#This Row],[  45-49 ]]-Table3410111213[[#This Row],[  45-49 ]]</f>
        <v>3029</v>
      </c>
      <c r="L49" s="5">
        <f>Table341011[[#This Row],[  50-54]]-Table3410111213[[#This Row],[  50-54]]</f>
        <v>3256</v>
      </c>
      <c r="M49" s="5">
        <f>Table341011[[#This Row],[  55-59]]-Table3410111213[[#This Row],[  55-59]]</f>
        <v>3266</v>
      </c>
      <c r="N49" s="5">
        <f>Table341011[[#This Row],[  60-64]]-Table3410111213[[#This Row],[  60-64]]</f>
        <v>3524</v>
      </c>
      <c r="O49" s="5">
        <f>Table341011[[#This Row],[  65-69]]-Table3410111213[[#This Row],[  65-69]]</f>
        <v>3151</v>
      </c>
      <c r="P49" s="5">
        <f>Table341011[[#This Row],[  70-74]]-Table3410111213[[#This Row],[  70-74]]</f>
        <v>2722</v>
      </c>
      <c r="Q49" s="5">
        <f>Table341011[[#This Row],[  75-79]]-Table3410111213[[#This Row],[  75-79]]</f>
        <v>2182</v>
      </c>
      <c r="R49" s="5">
        <f>Table341011[[#This Row],[  80-84]]-Table3410111213[[#This Row],[  80-84]]</f>
        <v>1485</v>
      </c>
      <c r="S49" s="5">
        <f>Table341011[[#This Row],[  85-89]]-Table3410111213[[#This Row],[  85-89]]</f>
        <v>936</v>
      </c>
      <c r="T49" s="5">
        <f>Table341011[[#This Row],[  90+]]-Table3410111213[[#This Row],[  90+]]</f>
        <v>623</v>
      </c>
    </row>
    <row r="50" spans="1:21" x14ac:dyDescent="0.2">
      <c r="A50" s="11" t="s">
        <v>17</v>
      </c>
      <c r="B50" s="6" t="s">
        <v>22</v>
      </c>
      <c r="C50" s="5">
        <f>Table341011[[#This Row],[Total]]-Table3410111213[[#This Row],[Total]]</f>
        <v>280362</v>
      </c>
      <c r="D50" s="5">
        <f>Table341011[[#This Row],[  5-11]]-Table3410111213[[#This Row],[  5-11]]</f>
        <v>7570</v>
      </c>
      <c r="E50" s="5">
        <f>Table341011[[#This Row],[  12-17]]-Table3410111213[[#This Row],[  12-17]]</f>
        <v>20561</v>
      </c>
      <c r="F50" s="5">
        <f>Table341011[[#This Row],[  18-24]]-Table3410111213[[#This Row],[  18-24]]</f>
        <v>24407</v>
      </c>
      <c r="G50" s="5">
        <f>Table341011[[#This Row],[  25-29 ]]-Table3410111213[[#This Row],[  25-29 ]]</f>
        <v>20413</v>
      </c>
      <c r="H50" s="5">
        <f>Table341011[[#This Row],[  30-34]]-Table3410111213[[#This Row],[  30-34]]</f>
        <v>22645</v>
      </c>
      <c r="I50" s="5">
        <f>Table341011[[#This Row],[  35-39]]-Table3410111213[[#This Row],[  35-39]]</f>
        <v>20946</v>
      </c>
      <c r="J50" s="5">
        <f>Table341011[[#This Row],[  40-44]]-Table3410111213[[#This Row],[  40-44]]</f>
        <v>19161</v>
      </c>
      <c r="K50" s="5">
        <f>Table341011[[#This Row],[  45-49 ]]-Table3410111213[[#This Row],[  45-49 ]]</f>
        <v>18924</v>
      </c>
      <c r="L50" s="5">
        <f>Table341011[[#This Row],[  50-54]]-Table3410111213[[#This Row],[  50-54]]</f>
        <v>20705</v>
      </c>
      <c r="M50" s="5">
        <f>Table341011[[#This Row],[  55-59]]-Table3410111213[[#This Row],[  55-59]]</f>
        <v>19711</v>
      </c>
      <c r="N50" s="5">
        <f>Table341011[[#This Row],[  60-64]]-Table3410111213[[#This Row],[  60-64]]</f>
        <v>20407</v>
      </c>
      <c r="O50" s="5">
        <f>Table341011[[#This Row],[  65-69]]-Table3410111213[[#This Row],[  65-69]]</f>
        <v>18667</v>
      </c>
      <c r="P50" s="5">
        <f>Table341011[[#This Row],[  70-74]]-Table3410111213[[#This Row],[  70-74]]</f>
        <v>16902</v>
      </c>
      <c r="Q50" s="5">
        <f>Table341011[[#This Row],[  75-79]]-Table3410111213[[#This Row],[  75-79]]</f>
        <v>13154</v>
      </c>
      <c r="R50" s="5">
        <f>Table341011[[#This Row],[  80-84]]-Table3410111213[[#This Row],[  80-84]]</f>
        <v>8848</v>
      </c>
      <c r="S50" s="5">
        <f>Table341011[[#This Row],[  85-89]]-Table3410111213[[#This Row],[  85-89]]</f>
        <v>4701</v>
      </c>
      <c r="T50" s="5">
        <f>Table341011[[#This Row],[  90+]]-Table3410111213[[#This Row],[  90+]]</f>
        <v>2640</v>
      </c>
    </row>
    <row r="51" spans="1:21" x14ac:dyDescent="0.2">
      <c r="A51" s="11" t="s">
        <v>17</v>
      </c>
      <c r="B51" s="6" t="s">
        <v>0</v>
      </c>
      <c r="C51" s="5">
        <f>Table341011[[#This Row],[Total]]-Table3410111213[[#This Row],[Total]]</f>
        <v>139073</v>
      </c>
      <c r="D51" s="5">
        <f>Table341011[[#This Row],[  5-11]]-Table3410111213[[#This Row],[  5-11]]</f>
        <v>3799</v>
      </c>
      <c r="E51" s="5">
        <f>Table341011[[#This Row],[  12-17]]-Table3410111213[[#This Row],[  12-17]]</f>
        <v>10462</v>
      </c>
      <c r="F51" s="5">
        <f>Table341011[[#This Row],[  18-24]]-Table3410111213[[#This Row],[  18-24]]</f>
        <v>12544</v>
      </c>
      <c r="G51" s="5">
        <f>Table341011[[#This Row],[  25-29 ]]-Table3410111213[[#This Row],[  25-29 ]]</f>
        <v>10668</v>
      </c>
      <c r="H51" s="5">
        <f>Table341011[[#This Row],[  30-34]]-Table3410111213[[#This Row],[  30-34]]</f>
        <v>11259</v>
      </c>
      <c r="I51" s="5">
        <f>Table341011[[#This Row],[  35-39]]-Table3410111213[[#This Row],[  35-39]]</f>
        <v>10515</v>
      </c>
      <c r="J51" s="5">
        <f>Table341011[[#This Row],[  40-44]]-Table3410111213[[#This Row],[  40-44]]</f>
        <v>9532</v>
      </c>
      <c r="K51" s="5">
        <f>Table341011[[#This Row],[  45-49 ]]-Table3410111213[[#This Row],[  45-49 ]]</f>
        <v>9458</v>
      </c>
      <c r="L51" s="5">
        <f>Table341011[[#This Row],[  50-54]]-Table3410111213[[#This Row],[  50-54]]</f>
        <v>10192</v>
      </c>
      <c r="M51" s="5">
        <f>Table341011[[#This Row],[  55-59]]-Table3410111213[[#This Row],[  55-59]]</f>
        <v>9727</v>
      </c>
      <c r="N51" s="5">
        <f>Table341011[[#This Row],[  60-64]]-Table3410111213[[#This Row],[  60-64]]</f>
        <v>9999</v>
      </c>
      <c r="O51" s="5">
        <f>Table341011[[#This Row],[  65-69]]-Table3410111213[[#This Row],[  65-69]]</f>
        <v>9096</v>
      </c>
      <c r="P51" s="5">
        <f>Table341011[[#This Row],[  70-74]]-Table3410111213[[#This Row],[  70-74]]</f>
        <v>8344</v>
      </c>
      <c r="Q51" s="5">
        <f>Table341011[[#This Row],[  75-79]]-Table3410111213[[#This Row],[  75-79]]</f>
        <v>6395</v>
      </c>
      <c r="R51" s="5">
        <f>Table341011[[#This Row],[  80-84]]-Table3410111213[[#This Row],[  80-84]]</f>
        <v>4114</v>
      </c>
      <c r="S51" s="5">
        <f>Table341011[[#This Row],[  85-89]]-Table3410111213[[#This Row],[  85-89]]</f>
        <v>2009</v>
      </c>
      <c r="T51" s="5">
        <f>Table341011[[#This Row],[  90+]]-Table3410111213[[#This Row],[  90+]]</f>
        <v>960</v>
      </c>
    </row>
    <row r="52" spans="1:21" x14ac:dyDescent="0.2">
      <c r="A52" s="11" t="s">
        <v>17</v>
      </c>
      <c r="B52" s="6" t="s">
        <v>23</v>
      </c>
      <c r="C52" s="5">
        <f>Table341011[[#This Row],[Total]]-Table3410111213[[#This Row],[Total]]</f>
        <v>141289</v>
      </c>
      <c r="D52" s="5">
        <f>Table341011[[#This Row],[  5-11]]-Table3410111213[[#This Row],[  5-11]]</f>
        <v>3771</v>
      </c>
      <c r="E52" s="5">
        <f>Table341011[[#This Row],[  12-17]]-Table3410111213[[#This Row],[  12-17]]</f>
        <v>10099</v>
      </c>
      <c r="F52" s="5">
        <f>Table341011[[#This Row],[  18-24]]-Table3410111213[[#This Row],[  18-24]]</f>
        <v>11863</v>
      </c>
      <c r="G52" s="5">
        <f>Table341011[[#This Row],[  25-29 ]]-Table3410111213[[#This Row],[  25-29 ]]</f>
        <v>9745</v>
      </c>
      <c r="H52" s="5">
        <f>Table341011[[#This Row],[  30-34]]-Table3410111213[[#This Row],[  30-34]]</f>
        <v>11386</v>
      </c>
      <c r="I52" s="5">
        <f>Table341011[[#This Row],[  35-39]]-Table3410111213[[#This Row],[  35-39]]</f>
        <v>10431</v>
      </c>
      <c r="J52" s="5">
        <f>Table341011[[#This Row],[  40-44]]-Table3410111213[[#This Row],[  40-44]]</f>
        <v>9629</v>
      </c>
      <c r="K52" s="5">
        <f>Table341011[[#This Row],[  45-49 ]]-Table3410111213[[#This Row],[  45-49 ]]</f>
        <v>9466</v>
      </c>
      <c r="L52" s="5">
        <f>Table341011[[#This Row],[  50-54]]-Table3410111213[[#This Row],[  50-54]]</f>
        <v>10513</v>
      </c>
      <c r="M52" s="5">
        <f>Table341011[[#This Row],[  55-59]]-Table3410111213[[#This Row],[  55-59]]</f>
        <v>9984</v>
      </c>
      <c r="N52" s="5">
        <f>Table341011[[#This Row],[  60-64]]-Table3410111213[[#This Row],[  60-64]]</f>
        <v>10408</v>
      </c>
      <c r="O52" s="5">
        <f>Table341011[[#This Row],[  65-69]]-Table3410111213[[#This Row],[  65-69]]</f>
        <v>9571</v>
      </c>
      <c r="P52" s="5">
        <f>Table341011[[#This Row],[  70-74]]-Table3410111213[[#This Row],[  70-74]]</f>
        <v>8558</v>
      </c>
      <c r="Q52" s="5">
        <f>Table341011[[#This Row],[  75-79]]-Table3410111213[[#This Row],[  75-79]]</f>
        <v>6759</v>
      </c>
      <c r="R52" s="5">
        <f>Table341011[[#This Row],[  80-84]]-Table3410111213[[#This Row],[  80-84]]</f>
        <v>4734</v>
      </c>
      <c r="S52" s="5">
        <f>Table341011[[#This Row],[  85-89]]-Table3410111213[[#This Row],[  85-89]]</f>
        <v>2692</v>
      </c>
      <c r="T52" s="5">
        <f>Table341011[[#This Row],[  90+]]-Table3410111213[[#This Row],[  90+]]</f>
        <v>1680</v>
      </c>
    </row>
    <row r="53" spans="1:21" x14ac:dyDescent="0.2">
      <c r="A53" s="9" t="s">
        <v>18</v>
      </c>
      <c r="B53" s="6" t="s">
        <v>22</v>
      </c>
      <c r="C53" s="5">
        <f>Table341011[[#This Row],[Total]]-Table3410111213[[#This Row],[Total]]</f>
        <v>34247</v>
      </c>
      <c r="D53" s="5">
        <f>Table341011[[#This Row],[  5-11]]-Table3410111213[[#This Row],[  5-11]]</f>
        <v>772</v>
      </c>
      <c r="E53" s="5">
        <f>Table341011[[#This Row],[  12-17]]-Table3410111213[[#This Row],[  12-17]]</f>
        <v>2280</v>
      </c>
      <c r="F53" s="5">
        <f>Table341011[[#This Row],[  18-24]]-Table3410111213[[#This Row],[  18-24]]</f>
        <v>2160</v>
      </c>
      <c r="G53" s="5">
        <f>Table341011[[#This Row],[  25-29 ]]-Table3410111213[[#This Row],[  25-29 ]]</f>
        <v>1707</v>
      </c>
      <c r="H53" s="5">
        <f>Table341011[[#This Row],[  30-34]]-Table3410111213[[#This Row],[  30-34]]</f>
        <v>2074</v>
      </c>
      <c r="I53" s="5">
        <f>Table341011[[#This Row],[  35-39]]-Table3410111213[[#This Row],[  35-39]]</f>
        <v>1958</v>
      </c>
      <c r="J53" s="5">
        <f>Table341011[[#This Row],[  40-44]]-Table3410111213[[#This Row],[  40-44]]</f>
        <v>2075</v>
      </c>
      <c r="K53" s="5">
        <f>Table341011[[#This Row],[  45-49 ]]-Table3410111213[[#This Row],[  45-49 ]]</f>
        <v>2264</v>
      </c>
      <c r="L53" s="5">
        <f>Table341011[[#This Row],[  50-54]]-Table3410111213[[#This Row],[  50-54]]</f>
        <v>2787</v>
      </c>
      <c r="M53" s="5">
        <f>Table341011[[#This Row],[  55-59]]-Table3410111213[[#This Row],[  55-59]]</f>
        <v>2855</v>
      </c>
      <c r="N53" s="5">
        <f>Table341011[[#This Row],[  60-64]]-Table3410111213[[#This Row],[  60-64]]</f>
        <v>3111</v>
      </c>
      <c r="O53" s="5">
        <f>Table341011[[#This Row],[  65-69]]-Table3410111213[[#This Row],[  65-69]]</f>
        <v>2978</v>
      </c>
      <c r="P53" s="5">
        <f>Table341011[[#This Row],[  70-74]]-Table3410111213[[#This Row],[  70-74]]</f>
        <v>2770</v>
      </c>
      <c r="Q53" s="5">
        <f>Table341011[[#This Row],[  75-79]]-Table3410111213[[#This Row],[  75-79]]</f>
        <v>2024</v>
      </c>
      <c r="R53" s="5">
        <f>Table341011[[#This Row],[  80-84]]-Table3410111213[[#This Row],[  80-84]]</f>
        <v>1365</v>
      </c>
      <c r="S53" s="5">
        <f>Table341011[[#This Row],[  85-89]]-Table3410111213[[#This Row],[  85-89]]</f>
        <v>684</v>
      </c>
      <c r="T53" s="5">
        <f>Table341011[[#This Row],[  90+]]-Table3410111213[[#This Row],[  90+]]</f>
        <v>383</v>
      </c>
    </row>
    <row r="54" spans="1:21" x14ac:dyDescent="0.2">
      <c r="A54" s="9" t="s">
        <v>18</v>
      </c>
      <c r="B54" s="6" t="s">
        <v>0</v>
      </c>
      <c r="C54" s="5">
        <f>Table341011[[#This Row],[Total]]-Table3410111213[[#This Row],[Total]]</f>
        <v>16712</v>
      </c>
      <c r="D54" s="5">
        <f>Table341011[[#This Row],[  5-11]]-Table3410111213[[#This Row],[  5-11]]</f>
        <v>382</v>
      </c>
      <c r="E54" s="5">
        <f>Table341011[[#This Row],[  12-17]]-Table3410111213[[#This Row],[  12-17]]</f>
        <v>1167</v>
      </c>
      <c r="F54" s="5">
        <f>Table341011[[#This Row],[  18-24]]-Table3410111213[[#This Row],[  18-24]]</f>
        <v>1159</v>
      </c>
      <c r="G54" s="5">
        <f>Table341011[[#This Row],[  25-29 ]]-Table3410111213[[#This Row],[  25-29 ]]</f>
        <v>877</v>
      </c>
      <c r="H54" s="5">
        <f>Table341011[[#This Row],[  30-34]]-Table3410111213[[#This Row],[  30-34]]</f>
        <v>993</v>
      </c>
      <c r="I54" s="5">
        <f>Table341011[[#This Row],[  35-39]]-Table3410111213[[#This Row],[  35-39]]</f>
        <v>977</v>
      </c>
      <c r="J54" s="5">
        <f>Table341011[[#This Row],[  40-44]]-Table3410111213[[#This Row],[  40-44]]</f>
        <v>966</v>
      </c>
      <c r="K54" s="5">
        <f>Table341011[[#This Row],[  45-49 ]]-Table3410111213[[#This Row],[  45-49 ]]</f>
        <v>1078</v>
      </c>
      <c r="L54" s="5">
        <f>Table341011[[#This Row],[  50-54]]-Table3410111213[[#This Row],[  50-54]]</f>
        <v>1329</v>
      </c>
      <c r="M54" s="5">
        <f>Table341011[[#This Row],[  55-59]]-Table3410111213[[#This Row],[  55-59]]</f>
        <v>1388</v>
      </c>
      <c r="N54" s="5">
        <f>Table341011[[#This Row],[  60-64]]-Table3410111213[[#This Row],[  60-64]]</f>
        <v>1504</v>
      </c>
      <c r="O54" s="5">
        <f>Table341011[[#This Row],[  65-69]]-Table3410111213[[#This Row],[  65-69]]</f>
        <v>1452</v>
      </c>
      <c r="P54" s="5">
        <f>Table341011[[#This Row],[  70-74]]-Table3410111213[[#This Row],[  70-74]]</f>
        <v>1388</v>
      </c>
      <c r="Q54" s="5">
        <f>Table341011[[#This Row],[  75-79]]-Table3410111213[[#This Row],[  75-79]]</f>
        <v>1002</v>
      </c>
      <c r="R54" s="5">
        <f>Table341011[[#This Row],[  80-84]]-Table3410111213[[#This Row],[  80-84]]</f>
        <v>621</v>
      </c>
      <c r="S54" s="5">
        <f>Table341011[[#This Row],[  85-89]]-Table3410111213[[#This Row],[  85-89]]</f>
        <v>288</v>
      </c>
      <c r="T54" s="5">
        <f>Table341011[[#This Row],[  90+]]-Table3410111213[[#This Row],[  90+]]</f>
        <v>141</v>
      </c>
    </row>
    <row r="55" spans="1:21" x14ac:dyDescent="0.2">
      <c r="A55" s="9" t="s">
        <v>18</v>
      </c>
      <c r="B55" s="6" t="s">
        <v>23</v>
      </c>
      <c r="C55" s="5">
        <f>Table341011[[#This Row],[Total]]-Table3410111213[[#This Row],[Total]]</f>
        <v>17535</v>
      </c>
      <c r="D55" s="5">
        <f>Table341011[[#This Row],[  5-11]]-Table3410111213[[#This Row],[  5-11]]</f>
        <v>390</v>
      </c>
      <c r="E55" s="5">
        <f>Table341011[[#This Row],[  12-17]]-Table3410111213[[#This Row],[  12-17]]</f>
        <v>1113</v>
      </c>
      <c r="F55" s="5">
        <f>Table341011[[#This Row],[  18-24]]-Table3410111213[[#This Row],[  18-24]]</f>
        <v>1001</v>
      </c>
      <c r="G55" s="5">
        <f>Table341011[[#This Row],[  25-29 ]]-Table3410111213[[#This Row],[  25-29 ]]</f>
        <v>830</v>
      </c>
      <c r="H55" s="5">
        <f>Table341011[[#This Row],[  30-34]]-Table3410111213[[#This Row],[  30-34]]</f>
        <v>1081</v>
      </c>
      <c r="I55" s="5">
        <f>Table341011[[#This Row],[  35-39]]-Table3410111213[[#This Row],[  35-39]]</f>
        <v>981</v>
      </c>
      <c r="J55" s="5">
        <f>Table341011[[#This Row],[  40-44]]-Table3410111213[[#This Row],[  40-44]]</f>
        <v>1109</v>
      </c>
      <c r="K55" s="5">
        <f>Table341011[[#This Row],[  45-49 ]]-Table3410111213[[#This Row],[  45-49 ]]</f>
        <v>1186</v>
      </c>
      <c r="L55" s="5">
        <f>Table341011[[#This Row],[  50-54]]-Table3410111213[[#This Row],[  50-54]]</f>
        <v>1458</v>
      </c>
      <c r="M55" s="5">
        <f>Table341011[[#This Row],[  55-59]]-Table3410111213[[#This Row],[  55-59]]</f>
        <v>1467</v>
      </c>
      <c r="N55" s="5">
        <f>Table341011[[#This Row],[  60-64]]-Table3410111213[[#This Row],[  60-64]]</f>
        <v>1607</v>
      </c>
      <c r="O55" s="5">
        <f>Table341011[[#This Row],[  65-69]]-Table3410111213[[#This Row],[  65-69]]</f>
        <v>1526</v>
      </c>
      <c r="P55" s="5">
        <f>Table341011[[#This Row],[  70-74]]-Table3410111213[[#This Row],[  70-74]]</f>
        <v>1382</v>
      </c>
      <c r="Q55" s="5">
        <f>Table341011[[#This Row],[  75-79]]-Table3410111213[[#This Row],[  75-79]]</f>
        <v>1022</v>
      </c>
      <c r="R55" s="5">
        <f>Table341011[[#This Row],[  80-84]]-Table3410111213[[#This Row],[  80-84]]</f>
        <v>744</v>
      </c>
      <c r="S55" s="5">
        <f>Table341011[[#This Row],[  85-89]]-Table3410111213[[#This Row],[  85-89]]</f>
        <v>396</v>
      </c>
      <c r="T55" s="5">
        <f>Table341011[[#This Row],[  90+]]-Table3410111213[[#This Row],[  90+]]</f>
        <v>242</v>
      </c>
    </row>
    <row r="56" spans="1:21" x14ac:dyDescent="0.2">
      <c r="A56" s="9" t="s">
        <v>19</v>
      </c>
      <c r="B56" s="6" t="s">
        <v>22</v>
      </c>
      <c r="C56" s="5">
        <f>Table341011[[#This Row],[Total]]-Table3410111213[[#This Row],[Total]]</f>
        <v>486335</v>
      </c>
      <c r="D56" s="5">
        <f>Table341011[[#This Row],[  5-11]]-Table3410111213[[#This Row],[  5-11]]</f>
        <v>18896</v>
      </c>
      <c r="E56" s="5">
        <f>Table341011[[#This Row],[  12-17]]-Table3410111213[[#This Row],[  12-17]]</f>
        <v>36185</v>
      </c>
      <c r="F56" s="5">
        <f>Table341011[[#This Row],[  18-24]]-Table3410111213[[#This Row],[  18-24]]</f>
        <v>43105</v>
      </c>
      <c r="G56" s="5">
        <f>Table341011[[#This Row],[  25-29 ]]-Table3410111213[[#This Row],[  25-29 ]]</f>
        <v>35487</v>
      </c>
      <c r="H56" s="5">
        <f>Table341011[[#This Row],[  30-34]]-Table3410111213[[#This Row],[  30-34]]</f>
        <v>42729</v>
      </c>
      <c r="I56" s="5">
        <f>Table341011[[#This Row],[  35-39]]-Table3410111213[[#This Row],[  35-39]]</f>
        <v>43556</v>
      </c>
      <c r="J56" s="5">
        <f>Table341011[[#This Row],[  40-44]]-Table3410111213[[#This Row],[  40-44]]</f>
        <v>40569</v>
      </c>
      <c r="K56" s="5">
        <f>Table341011[[#This Row],[  45-49 ]]-Table3410111213[[#This Row],[  45-49 ]]</f>
        <v>36219</v>
      </c>
      <c r="L56" s="5">
        <f>Table341011[[#This Row],[  50-54]]-Table3410111213[[#This Row],[  50-54]]</f>
        <v>37399</v>
      </c>
      <c r="M56" s="5">
        <f>Table341011[[#This Row],[  55-59]]-Table3410111213[[#This Row],[  55-59]]</f>
        <v>34033</v>
      </c>
      <c r="N56" s="5">
        <f>Table341011[[#This Row],[  60-64]]-Table3410111213[[#This Row],[  60-64]]</f>
        <v>31109</v>
      </c>
      <c r="O56" s="5">
        <f>Table341011[[#This Row],[  65-69]]-Table3410111213[[#This Row],[  65-69]]</f>
        <v>26200</v>
      </c>
      <c r="P56" s="5">
        <f>Table341011[[#This Row],[  70-74]]-Table3410111213[[#This Row],[  70-74]]</f>
        <v>21865</v>
      </c>
      <c r="Q56" s="5">
        <f>Table341011[[#This Row],[  75-79]]-Table3410111213[[#This Row],[  75-79]]</f>
        <v>17106</v>
      </c>
      <c r="R56" s="5">
        <f>Table341011[[#This Row],[  80-84]]-Table3410111213[[#This Row],[  80-84]]</f>
        <v>11746</v>
      </c>
      <c r="S56" s="5">
        <f>Table341011[[#This Row],[  85-89]]-Table3410111213[[#This Row],[  85-89]]</f>
        <v>6396</v>
      </c>
      <c r="T56" s="5">
        <f>Table341011[[#This Row],[  90+]]-Table3410111213[[#This Row],[  90+]]</f>
        <v>3735</v>
      </c>
    </row>
    <row r="57" spans="1:21" x14ac:dyDescent="0.2">
      <c r="A57" s="10" t="s">
        <v>19</v>
      </c>
      <c r="B57" s="6" t="s">
        <v>0</v>
      </c>
      <c r="C57" s="5">
        <f>Table341011[[#This Row],[Total]]-Table3410111213[[#This Row],[Total]]</f>
        <v>239274</v>
      </c>
      <c r="D57" s="5">
        <f>Table341011[[#This Row],[  5-11]]-Table3410111213[[#This Row],[  5-11]]</f>
        <v>9590</v>
      </c>
      <c r="E57" s="5">
        <f>Table341011[[#This Row],[  12-17]]-Table3410111213[[#This Row],[  12-17]]</f>
        <v>18569</v>
      </c>
      <c r="F57" s="5">
        <f>Table341011[[#This Row],[  18-24]]-Table3410111213[[#This Row],[  18-24]]</f>
        <v>22237</v>
      </c>
      <c r="G57" s="5">
        <f>Table341011[[#This Row],[  25-29 ]]-Table3410111213[[#This Row],[  25-29 ]]</f>
        <v>17788</v>
      </c>
      <c r="H57" s="5">
        <f>Table341011[[#This Row],[  30-34]]-Table3410111213[[#This Row],[  30-34]]</f>
        <v>20931</v>
      </c>
      <c r="I57" s="5">
        <f>Table341011[[#This Row],[  35-39]]-Table3410111213[[#This Row],[  35-39]]</f>
        <v>21169</v>
      </c>
      <c r="J57" s="5">
        <f>Table341011[[#This Row],[  40-44]]-Table3410111213[[#This Row],[  40-44]]</f>
        <v>20154</v>
      </c>
      <c r="K57" s="5">
        <f>Table341011[[#This Row],[  45-49 ]]-Table3410111213[[#This Row],[  45-49 ]]</f>
        <v>17919</v>
      </c>
      <c r="L57" s="5">
        <f>Table341011[[#This Row],[  50-54]]-Table3410111213[[#This Row],[  50-54]]</f>
        <v>18380</v>
      </c>
      <c r="M57" s="5">
        <f>Table341011[[#This Row],[  55-59]]-Table3410111213[[#This Row],[  55-59]]</f>
        <v>16890</v>
      </c>
      <c r="N57" s="5">
        <f>Table341011[[#This Row],[  60-64]]-Table3410111213[[#This Row],[  60-64]]</f>
        <v>15239</v>
      </c>
      <c r="O57" s="5">
        <f>Table341011[[#This Row],[  65-69]]-Table3410111213[[#This Row],[  65-69]]</f>
        <v>12474</v>
      </c>
      <c r="P57" s="5">
        <f>Table341011[[#This Row],[  70-74]]-Table3410111213[[#This Row],[  70-74]]</f>
        <v>10584</v>
      </c>
      <c r="Q57" s="5">
        <f>Table341011[[#This Row],[  75-79]]-Table3410111213[[#This Row],[  75-79]]</f>
        <v>8063</v>
      </c>
      <c r="R57" s="5">
        <f>Table341011[[#This Row],[  80-84]]-Table3410111213[[#This Row],[  80-84]]</f>
        <v>5301</v>
      </c>
      <c r="S57" s="5">
        <f>Table341011[[#This Row],[  85-89]]-Table3410111213[[#This Row],[  85-89]]</f>
        <v>2654</v>
      </c>
      <c r="T57" s="5">
        <f>Table341011[[#This Row],[  90+]]-Table3410111213[[#This Row],[  90+]]</f>
        <v>1332</v>
      </c>
    </row>
    <row r="58" spans="1:21" x14ac:dyDescent="0.2">
      <c r="A58" s="10" t="s">
        <v>19</v>
      </c>
      <c r="B58" s="6" t="s">
        <v>23</v>
      </c>
      <c r="C58" s="5">
        <f>Table341011[[#This Row],[Total]]-Table3410111213[[#This Row],[Total]]</f>
        <v>247061</v>
      </c>
      <c r="D58" s="5">
        <f>Table341011[[#This Row],[  5-11]]-Table3410111213[[#This Row],[  5-11]]</f>
        <v>9306</v>
      </c>
      <c r="E58" s="5">
        <f>Table341011[[#This Row],[  12-17]]-Table3410111213[[#This Row],[  12-17]]</f>
        <v>17616</v>
      </c>
      <c r="F58" s="5">
        <f>Table341011[[#This Row],[  18-24]]-Table3410111213[[#This Row],[  18-24]]</f>
        <v>20868</v>
      </c>
      <c r="G58" s="5">
        <f>Table341011[[#This Row],[  25-29 ]]-Table3410111213[[#This Row],[  25-29 ]]</f>
        <v>17699</v>
      </c>
      <c r="H58" s="5">
        <f>Table341011[[#This Row],[  30-34]]-Table3410111213[[#This Row],[  30-34]]</f>
        <v>21798</v>
      </c>
      <c r="I58" s="5">
        <f>Table341011[[#This Row],[  35-39]]-Table3410111213[[#This Row],[  35-39]]</f>
        <v>22387</v>
      </c>
      <c r="J58" s="5">
        <f>Table341011[[#This Row],[  40-44]]-Table3410111213[[#This Row],[  40-44]]</f>
        <v>20415</v>
      </c>
      <c r="K58" s="5">
        <f>Table341011[[#This Row],[  45-49 ]]-Table3410111213[[#This Row],[  45-49 ]]</f>
        <v>18300</v>
      </c>
      <c r="L58" s="5">
        <f>Table341011[[#This Row],[  50-54]]-Table3410111213[[#This Row],[  50-54]]</f>
        <v>19019</v>
      </c>
      <c r="M58" s="5">
        <f>Table341011[[#This Row],[  55-59]]-Table3410111213[[#This Row],[  55-59]]</f>
        <v>17143</v>
      </c>
      <c r="N58" s="5">
        <f>Table341011[[#This Row],[  60-64]]-Table3410111213[[#This Row],[  60-64]]</f>
        <v>15870</v>
      </c>
      <c r="O58" s="5">
        <f>Table341011[[#This Row],[  65-69]]-Table3410111213[[#This Row],[  65-69]]</f>
        <v>13726</v>
      </c>
      <c r="P58" s="5">
        <f>Table341011[[#This Row],[  70-74]]-Table3410111213[[#This Row],[  70-74]]</f>
        <v>11281</v>
      </c>
      <c r="Q58" s="5">
        <f>Table341011[[#This Row],[  75-79]]-Table3410111213[[#This Row],[  75-79]]</f>
        <v>9043</v>
      </c>
      <c r="R58" s="5">
        <f>Table341011[[#This Row],[  80-84]]-Table3410111213[[#This Row],[  80-84]]</f>
        <v>6445</v>
      </c>
      <c r="S58" s="5">
        <f>Table341011[[#This Row],[  85-89]]-Table3410111213[[#This Row],[  85-89]]</f>
        <v>3742</v>
      </c>
      <c r="T58" s="5">
        <f>Table341011[[#This Row],[  90+]]-Table3410111213[[#This Row],[  90+]]</f>
        <v>2403</v>
      </c>
    </row>
    <row r="59" spans="1:21" x14ac:dyDescent="0.2">
      <c r="A59" s="9" t="s">
        <v>20</v>
      </c>
      <c r="B59" s="6" t="s">
        <v>22</v>
      </c>
      <c r="C59" s="5">
        <f>Table341011[[#This Row],[Total]]-Table3410111213[[#This Row],[Total]]</f>
        <v>23388</v>
      </c>
      <c r="D59" s="5">
        <f>Table341011[[#This Row],[  5-11]]-Table3410111213[[#This Row],[  5-11]]</f>
        <v>487</v>
      </c>
      <c r="E59" s="5">
        <f>Table341011[[#This Row],[  12-17]]-Table3410111213[[#This Row],[  12-17]]</f>
        <v>1533</v>
      </c>
      <c r="F59" s="5">
        <f>Table341011[[#This Row],[  18-24]]-Table3410111213[[#This Row],[  18-24]]</f>
        <v>1423</v>
      </c>
      <c r="G59" s="5">
        <f>Table341011[[#This Row],[  25-29 ]]-Table3410111213[[#This Row],[  25-29 ]]</f>
        <v>1126</v>
      </c>
      <c r="H59" s="5">
        <f>Table341011[[#This Row],[  30-34]]-Table3410111213[[#This Row],[  30-34]]</f>
        <v>1427</v>
      </c>
      <c r="I59" s="5">
        <f>Table341011[[#This Row],[  35-39]]-Table3410111213[[#This Row],[  35-39]]</f>
        <v>1355</v>
      </c>
      <c r="J59" s="5">
        <f>Table341011[[#This Row],[  40-44]]-Table3410111213[[#This Row],[  40-44]]</f>
        <v>1353</v>
      </c>
      <c r="K59" s="5">
        <f>Table341011[[#This Row],[  45-49 ]]-Table3410111213[[#This Row],[  45-49 ]]</f>
        <v>1519</v>
      </c>
      <c r="L59" s="5">
        <f>Table341011[[#This Row],[  50-54]]-Table3410111213[[#This Row],[  50-54]]</f>
        <v>1982</v>
      </c>
      <c r="M59" s="5">
        <f>Table341011[[#This Row],[  55-59]]-Table3410111213[[#This Row],[  55-59]]</f>
        <v>2237</v>
      </c>
      <c r="N59" s="5">
        <f>Table341011[[#This Row],[  60-64]]-Table3410111213[[#This Row],[  60-64]]</f>
        <v>2468</v>
      </c>
      <c r="O59" s="5">
        <f>Table341011[[#This Row],[  65-69]]-Table3410111213[[#This Row],[  65-69]]</f>
        <v>2124</v>
      </c>
      <c r="P59" s="5">
        <f>Table341011[[#This Row],[  70-74]]-Table3410111213[[#This Row],[  70-74]]</f>
        <v>1827</v>
      </c>
      <c r="Q59" s="5">
        <f>Table341011[[#This Row],[  75-79]]-Table3410111213[[#This Row],[  75-79]]</f>
        <v>1232</v>
      </c>
      <c r="R59" s="5">
        <f>Table341011[[#This Row],[  80-84]]-Table3410111213[[#This Row],[  80-84]]</f>
        <v>739</v>
      </c>
      <c r="S59" s="5">
        <f>Table341011[[#This Row],[  85-89]]-Table3410111213[[#This Row],[  85-89]]</f>
        <v>364</v>
      </c>
      <c r="T59" s="5">
        <f>Table341011[[#This Row],[  90+]]-Table3410111213[[#This Row],[  90+]]</f>
        <v>192</v>
      </c>
    </row>
    <row r="60" spans="1:21" x14ac:dyDescent="0.2">
      <c r="A60" s="9" t="s">
        <v>20</v>
      </c>
      <c r="B60" s="6" t="s">
        <v>0</v>
      </c>
      <c r="C60" s="5">
        <f>Table341011[[#This Row],[Total]]-Table3410111213[[#This Row],[Total]]</f>
        <v>11920</v>
      </c>
      <c r="D60" s="5">
        <f>Table341011[[#This Row],[  5-11]]-Table3410111213[[#This Row],[  5-11]]</f>
        <v>243</v>
      </c>
      <c r="E60" s="5">
        <f>Table341011[[#This Row],[  12-17]]-Table3410111213[[#This Row],[  12-17]]</f>
        <v>778</v>
      </c>
      <c r="F60" s="5">
        <f>Table341011[[#This Row],[  18-24]]-Table3410111213[[#This Row],[  18-24]]</f>
        <v>787</v>
      </c>
      <c r="G60" s="5">
        <f>Table341011[[#This Row],[  25-29 ]]-Table3410111213[[#This Row],[  25-29 ]]</f>
        <v>572</v>
      </c>
      <c r="H60" s="5">
        <f>Table341011[[#This Row],[  30-34]]-Table3410111213[[#This Row],[  30-34]]</f>
        <v>689</v>
      </c>
      <c r="I60" s="5">
        <f>Table341011[[#This Row],[  35-39]]-Table3410111213[[#This Row],[  35-39]]</f>
        <v>712</v>
      </c>
      <c r="J60" s="5">
        <f>Table341011[[#This Row],[  40-44]]-Table3410111213[[#This Row],[  40-44]]</f>
        <v>642</v>
      </c>
      <c r="K60" s="5">
        <f>Table341011[[#This Row],[  45-49 ]]-Table3410111213[[#This Row],[  45-49 ]]</f>
        <v>731</v>
      </c>
      <c r="L60" s="5">
        <f>Table341011[[#This Row],[  50-54]]-Table3410111213[[#This Row],[  50-54]]</f>
        <v>983</v>
      </c>
      <c r="M60" s="5">
        <f>Table341011[[#This Row],[  55-59]]-Table3410111213[[#This Row],[  55-59]]</f>
        <v>1109</v>
      </c>
      <c r="N60" s="5">
        <f>Table341011[[#This Row],[  60-64]]-Table3410111213[[#This Row],[  60-64]]</f>
        <v>1275</v>
      </c>
      <c r="O60" s="5">
        <f>Table341011[[#This Row],[  65-69]]-Table3410111213[[#This Row],[  65-69]]</f>
        <v>1168</v>
      </c>
      <c r="P60" s="5">
        <f>Table341011[[#This Row],[  70-74]]-Table3410111213[[#This Row],[  70-74]]</f>
        <v>1009</v>
      </c>
      <c r="Q60" s="5">
        <f>Table341011[[#This Row],[  75-79]]-Table3410111213[[#This Row],[  75-79]]</f>
        <v>615</v>
      </c>
      <c r="R60" s="5">
        <f>Table341011[[#This Row],[  80-84]]-Table3410111213[[#This Row],[  80-84]]</f>
        <v>362</v>
      </c>
      <c r="S60" s="5">
        <f>Table341011[[#This Row],[  85-89]]-Table3410111213[[#This Row],[  85-89]]</f>
        <v>173</v>
      </c>
      <c r="T60" s="5">
        <f>Table341011[[#This Row],[  90+]]-Table3410111213[[#This Row],[  90+]]</f>
        <v>72</v>
      </c>
    </row>
    <row r="61" spans="1:21" x14ac:dyDescent="0.2">
      <c r="A61" s="9" t="s">
        <v>20</v>
      </c>
      <c r="B61" s="6" t="s">
        <v>23</v>
      </c>
      <c r="C61" s="5">
        <f>Table341011[[#This Row],[Total]]-Table3410111213[[#This Row],[Total]]</f>
        <v>11468</v>
      </c>
      <c r="D61" s="5">
        <f>Table341011[[#This Row],[  5-11]]-Table3410111213[[#This Row],[  5-11]]</f>
        <v>244</v>
      </c>
      <c r="E61" s="5">
        <f>Table341011[[#This Row],[  12-17]]-Table3410111213[[#This Row],[  12-17]]</f>
        <v>755</v>
      </c>
      <c r="F61" s="5">
        <f>Table341011[[#This Row],[  18-24]]-Table3410111213[[#This Row],[  18-24]]</f>
        <v>636</v>
      </c>
      <c r="G61" s="5">
        <f>Table341011[[#This Row],[  25-29 ]]-Table3410111213[[#This Row],[  25-29 ]]</f>
        <v>554</v>
      </c>
      <c r="H61" s="5">
        <f>Table341011[[#This Row],[  30-34]]-Table3410111213[[#This Row],[  30-34]]</f>
        <v>738</v>
      </c>
      <c r="I61" s="5">
        <f>Table341011[[#This Row],[  35-39]]-Table3410111213[[#This Row],[  35-39]]</f>
        <v>643</v>
      </c>
      <c r="J61" s="5">
        <f>Table341011[[#This Row],[  40-44]]-Table3410111213[[#This Row],[  40-44]]</f>
        <v>711</v>
      </c>
      <c r="K61" s="5">
        <f>Table341011[[#This Row],[  45-49 ]]-Table3410111213[[#This Row],[  45-49 ]]</f>
        <v>788</v>
      </c>
      <c r="L61" s="5">
        <f>Table341011[[#This Row],[  50-54]]-Table3410111213[[#This Row],[  50-54]]</f>
        <v>999</v>
      </c>
      <c r="M61" s="5">
        <f>Table341011[[#This Row],[  55-59]]-Table3410111213[[#This Row],[  55-59]]</f>
        <v>1128</v>
      </c>
      <c r="N61" s="5">
        <f>Table341011[[#This Row],[  60-64]]-Table3410111213[[#This Row],[  60-64]]</f>
        <v>1193</v>
      </c>
      <c r="O61" s="5">
        <f>Table341011[[#This Row],[  65-69]]-Table3410111213[[#This Row],[  65-69]]</f>
        <v>956</v>
      </c>
      <c r="P61" s="5">
        <f>Table341011[[#This Row],[  70-74]]-Table3410111213[[#This Row],[  70-74]]</f>
        <v>818</v>
      </c>
      <c r="Q61" s="5">
        <f>Table341011[[#This Row],[  75-79]]-Table3410111213[[#This Row],[  75-79]]</f>
        <v>617</v>
      </c>
      <c r="R61" s="5">
        <f>Table341011[[#This Row],[  80-84]]-Table3410111213[[#This Row],[  80-84]]</f>
        <v>377</v>
      </c>
      <c r="S61" s="5">
        <f>Table341011[[#This Row],[  85-89]]-Table3410111213[[#This Row],[  85-89]]</f>
        <v>191</v>
      </c>
      <c r="T61" s="5">
        <f>Table341011[[#This Row],[  90+]]-Table3410111213[[#This Row],[  90+]]</f>
        <v>120</v>
      </c>
    </row>
    <row r="62" spans="1:21" x14ac:dyDescent="0.2">
      <c r="A62" s="13" t="s">
        <v>21</v>
      </c>
      <c r="B62" s="6" t="s">
        <v>22</v>
      </c>
      <c r="C62" s="5">
        <f>Table341011[[#This Row],[Total]]-Table3410111213[[#This Row],[Total]]</f>
        <v>40911</v>
      </c>
      <c r="D62" s="5">
        <f>Table341011[[#This Row],[  5-11]]-Table3410111213[[#This Row],[  5-11]]</f>
        <v>943</v>
      </c>
      <c r="E62" s="5">
        <f>Table341011[[#This Row],[  12-17]]-Table3410111213[[#This Row],[  12-17]]</f>
        <v>2614</v>
      </c>
      <c r="F62" s="5">
        <f>Table341011[[#This Row],[  18-24]]-Table3410111213[[#This Row],[  18-24]]</f>
        <v>2965</v>
      </c>
      <c r="G62" s="5">
        <f>Table341011[[#This Row],[  25-29 ]]-Table3410111213[[#This Row],[  25-29 ]]</f>
        <v>2358</v>
      </c>
      <c r="H62" s="5">
        <f>Table341011[[#This Row],[  30-34]]-Table3410111213[[#This Row],[  30-34]]</f>
        <v>2653</v>
      </c>
      <c r="I62" s="5">
        <f>Table341011[[#This Row],[  35-39]]-Table3410111213[[#This Row],[  35-39]]</f>
        <v>2503</v>
      </c>
      <c r="J62" s="5">
        <f>Table341011[[#This Row],[  40-44]]-Table3410111213[[#This Row],[  40-44]]</f>
        <v>2273</v>
      </c>
      <c r="K62" s="5">
        <f>Table341011[[#This Row],[  45-49 ]]-Table3410111213[[#This Row],[  45-49 ]]</f>
        <v>2555</v>
      </c>
      <c r="L62" s="5">
        <f>Table341011[[#This Row],[  50-54]]-Table3410111213[[#This Row],[  50-54]]</f>
        <v>3076</v>
      </c>
      <c r="M62" s="5">
        <f>Table341011[[#This Row],[  55-59]]-Table3410111213[[#This Row],[  55-59]]</f>
        <v>3358</v>
      </c>
      <c r="N62" s="5">
        <f>Table341011[[#This Row],[  60-64]]-Table3410111213[[#This Row],[  60-64]]</f>
        <v>3633</v>
      </c>
      <c r="O62" s="5">
        <f>Table341011[[#This Row],[  65-69]]-Table3410111213[[#This Row],[  65-69]]</f>
        <v>3436</v>
      </c>
      <c r="P62" s="5">
        <f>Table341011[[#This Row],[  70-74]]-Table3410111213[[#This Row],[  70-74]]</f>
        <v>3032</v>
      </c>
      <c r="Q62" s="5">
        <f>Table341011[[#This Row],[  75-79]]-Table3410111213[[#This Row],[  75-79]]</f>
        <v>2456</v>
      </c>
      <c r="R62" s="5">
        <f>Table341011[[#This Row],[  80-84]]-Table3410111213[[#This Row],[  80-84]]</f>
        <v>1666</v>
      </c>
      <c r="S62" s="5">
        <f>Table341011[[#This Row],[  85-89]]-Table3410111213[[#This Row],[  85-89]]</f>
        <v>903</v>
      </c>
      <c r="T62" s="5">
        <f>Table341011[[#This Row],[  90+]]-Table3410111213[[#This Row],[  90+]]</f>
        <v>487</v>
      </c>
      <c r="U62" s="7"/>
    </row>
    <row r="63" spans="1:21" x14ac:dyDescent="0.2">
      <c r="A63" s="10" t="s">
        <v>21</v>
      </c>
      <c r="B63" s="6" t="s">
        <v>0</v>
      </c>
      <c r="C63" s="5">
        <f>Table341011[[#This Row],[Total]]-Table3410111213[[#This Row],[Total]]</f>
        <v>20219</v>
      </c>
      <c r="D63" s="5">
        <f>Table341011[[#This Row],[  5-11]]-Table3410111213[[#This Row],[  5-11]]</f>
        <v>462</v>
      </c>
      <c r="E63" s="5">
        <f>Table341011[[#This Row],[  12-17]]-Table3410111213[[#This Row],[  12-17]]</f>
        <v>1348</v>
      </c>
      <c r="F63" s="5">
        <f>Table341011[[#This Row],[  18-24]]-Table3410111213[[#This Row],[  18-24]]</f>
        <v>1615</v>
      </c>
      <c r="G63" s="5">
        <f>Table341011[[#This Row],[  25-29 ]]-Table3410111213[[#This Row],[  25-29 ]]</f>
        <v>1226</v>
      </c>
      <c r="H63" s="5">
        <f>Table341011[[#This Row],[  30-34]]-Table3410111213[[#This Row],[  30-34]]</f>
        <v>1355</v>
      </c>
      <c r="I63" s="5">
        <f>Table341011[[#This Row],[  35-39]]-Table3410111213[[#This Row],[  35-39]]</f>
        <v>1242</v>
      </c>
      <c r="J63" s="5">
        <f>Table341011[[#This Row],[  40-44]]-Table3410111213[[#This Row],[  40-44]]</f>
        <v>1155</v>
      </c>
      <c r="K63" s="5">
        <f>Table341011[[#This Row],[  45-49 ]]-Table3410111213[[#This Row],[  45-49 ]]</f>
        <v>1230</v>
      </c>
      <c r="L63" s="5">
        <f>Table341011[[#This Row],[  50-54]]-Table3410111213[[#This Row],[  50-54]]</f>
        <v>1497</v>
      </c>
      <c r="M63" s="5">
        <f>Table341011[[#This Row],[  55-59]]-Table3410111213[[#This Row],[  55-59]]</f>
        <v>1600</v>
      </c>
      <c r="N63" s="5">
        <f>Table341011[[#This Row],[  60-64]]-Table3410111213[[#This Row],[  60-64]]</f>
        <v>1796</v>
      </c>
      <c r="O63" s="5">
        <f>Table341011[[#This Row],[  65-69]]-Table3410111213[[#This Row],[  65-69]]</f>
        <v>1670</v>
      </c>
      <c r="P63" s="5">
        <f>Table341011[[#This Row],[  70-74]]-Table3410111213[[#This Row],[  70-74]]</f>
        <v>1541</v>
      </c>
      <c r="Q63" s="5">
        <f>Table341011[[#This Row],[  75-79]]-Table3410111213[[#This Row],[  75-79]]</f>
        <v>1194</v>
      </c>
      <c r="R63" s="5">
        <f>Table341011[[#This Row],[  80-84]]-Table3410111213[[#This Row],[  80-84]]</f>
        <v>738</v>
      </c>
      <c r="S63" s="5">
        <f>Table341011[[#This Row],[  85-89]]-Table3410111213[[#This Row],[  85-89]]</f>
        <v>373</v>
      </c>
      <c r="T63" s="5">
        <f>Table341011[[#This Row],[  90+]]-Table3410111213[[#This Row],[  90+]]</f>
        <v>177</v>
      </c>
    </row>
    <row r="64" spans="1:21" x14ac:dyDescent="0.2">
      <c r="A64" s="10" t="s">
        <v>21</v>
      </c>
      <c r="B64" s="6" t="s">
        <v>23</v>
      </c>
      <c r="C64" s="5">
        <f>Table341011[[#This Row],[Total]]-Table3410111213[[#This Row],[Total]]</f>
        <v>20692</v>
      </c>
      <c r="D64" s="5">
        <f>Table341011[[#This Row],[  5-11]]-Table3410111213[[#This Row],[  5-11]]</f>
        <v>481</v>
      </c>
      <c r="E64" s="5">
        <f>Table341011[[#This Row],[  12-17]]-Table3410111213[[#This Row],[  12-17]]</f>
        <v>1266</v>
      </c>
      <c r="F64" s="5">
        <f>Table341011[[#This Row],[  18-24]]-Table3410111213[[#This Row],[  18-24]]</f>
        <v>1350</v>
      </c>
      <c r="G64" s="5">
        <f>Table341011[[#This Row],[  25-29 ]]-Table3410111213[[#This Row],[  25-29 ]]</f>
        <v>1132</v>
      </c>
      <c r="H64" s="5">
        <f>Table341011[[#This Row],[  30-34]]-Table3410111213[[#This Row],[  30-34]]</f>
        <v>1298</v>
      </c>
      <c r="I64" s="5">
        <f>Table341011[[#This Row],[  35-39]]-Table3410111213[[#This Row],[  35-39]]</f>
        <v>1261</v>
      </c>
      <c r="J64" s="5">
        <f>Table341011[[#This Row],[  40-44]]-Table3410111213[[#This Row],[  40-44]]</f>
        <v>1118</v>
      </c>
      <c r="K64" s="5">
        <f>Table341011[[#This Row],[  45-49 ]]-Table3410111213[[#This Row],[  45-49 ]]</f>
        <v>1325</v>
      </c>
      <c r="L64" s="5">
        <f>Table341011[[#This Row],[  50-54]]-Table3410111213[[#This Row],[  50-54]]</f>
        <v>1579</v>
      </c>
      <c r="M64" s="5">
        <f>Table341011[[#This Row],[  55-59]]-Table3410111213[[#This Row],[  55-59]]</f>
        <v>1758</v>
      </c>
      <c r="N64" s="5">
        <f>Table341011[[#This Row],[  60-64]]-Table3410111213[[#This Row],[  60-64]]</f>
        <v>1837</v>
      </c>
      <c r="O64" s="5">
        <f>Table341011[[#This Row],[  65-69]]-Table3410111213[[#This Row],[  65-69]]</f>
        <v>1766</v>
      </c>
      <c r="P64" s="5">
        <f>Table341011[[#This Row],[  70-74]]-Table3410111213[[#This Row],[  70-74]]</f>
        <v>1491</v>
      </c>
      <c r="Q64" s="5">
        <f>Table341011[[#This Row],[  75-79]]-Table3410111213[[#This Row],[  75-79]]</f>
        <v>1262</v>
      </c>
      <c r="R64" s="5">
        <f>Table341011[[#This Row],[  80-84]]-Table3410111213[[#This Row],[  80-84]]</f>
        <v>928</v>
      </c>
      <c r="S64" s="5">
        <f>Table341011[[#This Row],[  85-89]]-Table3410111213[[#This Row],[  85-89]]</f>
        <v>530</v>
      </c>
      <c r="T64" s="5">
        <f>Table341011[[#This Row],[  90+]]-Table3410111213[[#This Row],[  90+]]</f>
        <v>310</v>
      </c>
    </row>
    <row r="65" spans="1:20" x14ac:dyDescent="0.2">
      <c r="A65" s="13" t="s">
        <v>22</v>
      </c>
      <c r="B65" s="6" t="s">
        <v>22</v>
      </c>
      <c r="C65" s="5">
        <f>Table341011[[#This Row],[Total]]-Table3410111213[[#This Row],[Total]]</f>
        <v>3617294</v>
      </c>
      <c r="D65" s="5">
        <f>Table341011[[#This Row],[  5-11]]-Table3410111213[[#This Row],[  5-11]]</f>
        <v>116868</v>
      </c>
      <c r="E65" s="5">
        <f>Table341011[[#This Row],[  12-17]]-Table3410111213[[#This Row],[  12-17]]</f>
        <v>257566</v>
      </c>
      <c r="F65" s="5">
        <f>Table341011[[#This Row],[  18-24]]-Table3410111213[[#This Row],[  18-24]]</f>
        <v>333454</v>
      </c>
      <c r="G65" s="5">
        <f>Table341011[[#This Row],[  25-29 ]]-Table3410111213[[#This Row],[  25-29 ]]</f>
        <v>275882</v>
      </c>
      <c r="H65" s="5">
        <f>Table341011[[#This Row],[  30-34]]-Table3410111213[[#This Row],[  30-34]]</f>
        <v>308341</v>
      </c>
      <c r="I65" s="5">
        <f>Table341011[[#This Row],[  35-39]]-Table3410111213[[#This Row],[  35-39]]</f>
        <v>284288</v>
      </c>
      <c r="J65" s="5">
        <f>Table341011[[#This Row],[  40-44]]-Table3410111213[[#This Row],[  40-44]]</f>
        <v>260239</v>
      </c>
      <c r="K65" s="5">
        <f>Table341011[[#This Row],[  45-49 ]]-Table3410111213[[#This Row],[  45-49 ]]</f>
        <v>252233</v>
      </c>
      <c r="L65" s="5">
        <f>Table341011[[#This Row],[  50-54]]-Table3410111213[[#This Row],[  50-54]]</f>
        <v>270704</v>
      </c>
      <c r="M65" s="5">
        <f>Table341011[[#This Row],[  55-59]]-Table3410111213[[#This Row],[  55-59]]</f>
        <v>259018</v>
      </c>
      <c r="N65" s="5">
        <f>Table341011[[#This Row],[  60-64]]-Table3410111213[[#This Row],[  60-64]]</f>
        <v>253602</v>
      </c>
      <c r="O65" s="5">
        <f>Table341011[[#This Row],[  65-69]]-Table3410111213[[#This Row],[  65-69]]</f>
        <v>221226</v>
      </c>
      <c r="P65" s="5">
        <f>Table341011[[#This Row],[  70-74]]-Table3410111213[[#This Row],[  70-74]]</f>
        <v>192751</v>
      </c>
      <c r="Q65" s="5">
        <f>Table341011[[#This Row],[  75-79]]-Table3410111213[[#This Row],[  75-79]]</f>
        <v>147036</v>
      </c>
      <c r="R65" s="5">
        <f>Table341011[[#This Row],[  80-84]]-Table3410111213[[#This Row],[  80-84]]</f>
        <v>99947</v>
      </c>
      <c r="S65" s="5">
        <f>Table341011[[#This Row],[  85-89]]-Table3410111213[[#This Row],[  85-89]]</f>
        <v>53339</v>
      </c>
      <c r="T65" s="5">
        <f>Table341011[[#This Row],[  90+]]-Table3410111213[[#This Row],[  90+]]</f>
        <v>30800</v>
      </c>
    </row>
    <row r="66" spans="1:20" x14ac:dyDescent="0.2">
      <c r="A66" s="10" t="s">
        <v>22</v>
      </c>
      <c r="B66" s="6" t="s">
        <v>0</v>
      </c>
      <c r="C66" s="5">
        <f>Table341011[[#This Row],[Total]]-Table3410111213[[#This Row],[Total]]</f>
        <v>1794311</v>
      </c>
      <c r="D66" s="5">
        <f>Table341011[[#This Row],[  5-11]]-Table3410111213[[#This Row],[  5-11]]</f>
        <v>59189</v>
      </c>
      <c r="E66" s="5">
        <f>Table341011[[#This Row],[  12-17]]-Table3410111213[[#This Row],[  12-17]]</f>
        <v>131618</v>
      </c>
      <c r="F66" s="5">
        <f>Table341011[[#This Row],[  18-24]]-Table3410111213[[#This Row],[  18-24]]</f>
        <v>170803</v>
      </c>
      <c r="G66" s="5">
        <f>Table341011[[#This Row],[  25-29 ]]-Table3410111213[[#This Row],[  25-29 ]]</f>
        <v>142754</v>
      </c>
      <c r="H66" s="5">
        <f>Table341011[[#This Row],[  30-34]]-Table3410111213[[#This Row],[  30-34]]</f>
        <v>154837</v>
      </c>
      <c r="I66" s="5">
        <f>Table341011[[#This Row],[  35-39]]-Table3410111213[[#This Row],[  35-39]]</f>
        <v>142591</v>
      </c>
      <c r="J66" s="5">
        <f>Table341011[[#This Row],[  40-44]]-Table3410111213[[#This Row],[  40-44]]</f>
        <v>130063</v>
      </c>
      <c r="K66" s="5">
        <f>Table341011[[#This Row],[  45-49 ]]-Table3410111213[[#This Row],[  45-49 ]]</f>
        <v>124869</v>
      </c>
      <c r="L66" s="5">
        <f>Table341011[[#This Row],[  50-54]]-Table3410111213[[#This Row],[  50-54]]</f>
        <v>133121</v>
      </c>
      <c r="M66" s="5">
        <f>Table341011[[#This Row],[  55-59]]-Table3410111213[[#This Row],[  55-59]]</f>
        <v>127639</v>
      </c>
      <c r="N66" s="5">
        <f>Table341011[[#This Row],[  60-64]]-Table3410111213[[#This Row],[  60-64]]</f>
        <v>124765</v>
      </c>
      <c r="O66" s="5">
        <f>Table341011[[#This Row],[  65-69]]-Table3410111213[[#This Row],[  65-69]]</f>
        <v>108316</v>
      </c>
      <c r="P66" s="5">
        <f>Table341011[[#This Row],[  70-74]]-Table3410111213[[#This Row],[  70-74]]</f>
        <v>94404</v>
      </c>
      <c r="Q66" s="5">
        <f>Table341011[[#This Row],[  75-79]]-Table3410111213[[#This Row],[  75-79]]</f>
        <v>70380</v>
      </c>
      <c r="R66" s="5">
        <f>Table341011[[#This Row],[  80-84]]-Table3410111213[[#This Row],[  80-84]]</f>
        <v>45605</v>
      </c>
      <c r="S66" s="5">
        <f>Table341011[[#This Row],[  85-89]]-Table3410111213[[#This Row],[  85-89]]</f>
        <v>22418</v>
      </c>
      <c r="T66" s="5">
        <f>Table341011[[#This Row],[  90+]]-Table3410111213[[#This Row],[  90+]]</f>
        <v>10939</v>
      </c>
    </row>
    <row r="67" spans="1:20" x14ac:dyDescent="0.2">
      <c r="A67" s="10" t="s">
        <v>22</v>
      </c>
      <c r="B67" s="6" t="s">
        <v>23</v>
      </c>
      <c r="C67" s="5">
        <f>Table341011[[#This Row],[Total]]-Table3410111213[[#This Row],[Total]]</f>
        <v>1822983</v>
      </c>
      <c r="D67" s="5">
        <f>Table341011[[#This Row],[  5-11]]-Table3410111213[[#This Row],[  5-11]]</f>
        <v>57679</v>
      </c>
      <c r="E67" s="5">
        <f>Table341011[[#This Row],[  12-17]]-Table3410111213[[#This Row],[  12-17]]</f>
        <v>125948</v>
      </c>
      <c r="F67" s="5">
        <f>Table341011[[#This Row],[  18-24]]-Table3410111213[[#This Row],[  18-24]]</f>
        <v>162651</v>
      </c>
      <c r="G67" s="5">
        <f>Table341011[[#This Row],[  25-29 ]]-Table3410111213[[#This Row],[  25-29 ]]</f>
        <v>133128</v>
      </c>
      <c r="H67" s="5">
        <f>Table341011[[#This Row],[  30-34]]-Table3410111213[[#This Row],[  30-34]]</f>
        <v>153504</v>
      </c>
      <c r="I67" s="5">
        <f>Table341011[[#This Row],[  35-39]]-Table3410111213[[#This Row],[  35-39]]</f>
        <v>141697</v>
      </c>
      <c r="J67" s="5">
        <f>Table341011[[#This Row],[  40-44]]-Table3410111213[[#This Row],[  40-44]]</f>
        <v>130176</v>
      </c>
      <c r="K67" s="5">
        <f>Table341011[[#This Row],[  45-49 ]]-Table3410111213[[#This Row],[  45-49 ]]</f>
        <v>127364</v>
      </c>
      <c r="L67" s="5">
        <f>Table341011[[#This Row],[  50-54]]-Table3410111213[[#This Row],[  50-54]]</f>
        <v>137583</v>
      </c>
      <c r="M67" s="5">
        <f>Table341011[[#This Row],[  55-59]]-Table3410111213[[#This Row],[  55-59]]</f>
        <v>131379</v>
      </c>
      <c r="N67" s="5">
        <f>Table341011[[#This Row],[  60-64]]-Table3410111213[[#This Row],[  60-64]]</f>
        <v>128837</v>
      </c>
      <c r="O67" s="5">
        <f>Table341011[[#This Row],[  65-69]]-Table3410111213[[#This Row],[  65-69]]</f>
        <v>112910</v>
      </c>
      <c r="P67" s="5">
        <f>Table341011[[#This Row],[  70-74]]-Table3410111213[[#This Row],[  70-74]]</f>
        <v>98347</v>
      </c>
      <c r="Q67" s="5">
        <f>Table341011[[#This Row],[  75-79]]-Table3410111213[[#This Row],[  75-79]]</f>
        <v>76656</v>
      </c>
      <c r="R67" s="5">
        <f>Table341011[[#This Row],[  80-84]]-Table3410111213[[#This Row],[  80-84]]</f>
        <v>54342</v>
      </c>
      <c r="S67" s="5">
        <f>Table341011[[#This Row],[  85-89]]-Table3410111213[[#This Row],[  85-89]]</f>
        <v>30921</v>
      </c>
      <c r="T67" s="5">
        <f>Table341011[[#This Row],[  90+]]-Table3410111213[[#This Row],[  90+]]</f>
        <v>19861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2A2C-1E96-D74C-BD14-049A7A95DE50}">
  <dimension ref="A1:T4"/>
  <sheetViews>
    <sheetView zoomScale="112" zoomScaleNormal="150" workbookViewId="0">
      <selection activeCell="F17" sqref="F17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3" t="s">
        <v>22</v>
      </c>
      <c r="B2" s="6" t="s">
        <v>22</v>
      </c>
      <c r="C2" s="5">
        <f>TotalFullVacc!C65</f>
        <v>4141757</v>
      </c>
      <c r="D2" s="5">
        <f>TotalFullVacc!D65</f>
        <v>132751</v>
      </c>
      <c r="E2" s="5">
        <f>TotalFullVacc!E65</f>
        <v>324875</v>
      </c>
      <c r="F2" s="5">
        <f>TotalFullVacc!F65</f>
        <v>412740</v>
      </c>
      <c r="G2" s="5">
        <f>TotalFullVacc!G65</f>
        <v>325894</v>
      </c>
      <c r="H2" s="5">
        <f>TotalFullVacc!H65</f>
        <v>355345</v>
      </c>
      <c r="I2" s="5">
        <f>TotalFullVacc!I65</f>
        <v>322037</v>
      </c>
      <c r="J2" s="5">
        <f>TotalFullVacc!J65</f>
        <v>294981</v>
      </c>
      <c r="K2" s="5">
        <f>TotalFullVacc!K65</f>
        <v>288366</v>
      </c>
      <c r="L2" s="5">
        <f>TotalFullVacc!L65</f>
        <v>308357</v>
      </c>
      <c r="M2" s="5">
        <f>TotalFullVacc!M65</f>
        <v>293436</v>
      </c>
      <c r="N2" s="5">
        <f>TotalFullVacc!N65</f>
        <v>284766</v>
      </c>
      <c r="O2" s="5">
        <f>TotalFullVacc!O65</f>
        <v>243200</v>
      </c>
      <c r="P2" s="5">
        <f>TotalFullVacc!P65</f>
        <v>208036</v>
      </c>
      <c r="Q2" s="5">
        <f>TotalFullVacc!Q65</f>
        <v>155533</v>
      </c>
      <c r="R2" s="5">
        <f>TotalFullVacc!R65</f>
        <v>104727</v>
      </c>
      <c r="S2" s="5">
        <f>TotalFullVacc!S65</f>
        <v>55221</v>
      </c>
      <c r="T2" s="5">
        <f>TotalFullVacc!T65</f>
        <v>31492</v>
      </c>
    </row>
    <row r="3" spans="1:20" x14ac:dyDescent="0.2">
      <c r="A3" s="10" t="s">
        <v>22</v>
      </c>
      <c r="B3" s="6" t="s">
        <v>0</v>
      </c>
      <c r="C3" s="5">
        <f>TotalFullVacc!C66</f>
        <v>2044397</v>
      </c>
      <c r="D3" s="5">
        <f>TotalFullVacc!D66</f>
        <v>67241</v>
      </c>
      <c r="E3" s="5">
        <f>TotalFullVacc!E66</f>
        <v>165814</v>
      </c>
      <c r="F3" s="5">
        <f>TotalFullVacc!F66</f>
        <v>210458</v>
      </c>
      <c r="G3" s="5">
        <f>TotalFullVacc!G66</f>
        <v>167294</v>
      </c>
      <c r="H3" s="5">
        <f>TotalFullVacc!H66</f>
        <v>177341</v>
      </c>
      <c r="I3" s="5">
        <f>TotalFullVacc!I66</f>
        <v>160286</v>
      </c>
      <c r="J3" s="5">
        <f>TotalFullVacc!J66</f>
        <v>146325</v>
      </c>
      <c r="K3" s="5">
        <f>TotalFullVacc!K66</f>
        <v>141457</v>
      </c>
      <c r="L3" s="5">
        <f>TotalFullVacc!L66</f>
        <v>150271</v>
      </c>
      <c r="M3" s="5">
        <f>TotalFullVacc!M66</f>
        <v>143437</v>
      </c>
      <c r="N3" s="5">
        <f>TotalFullVacc!N66</f>
        <v>138946</v>
      </c>
      <c r="O3" s="5">
        <f>TotalFullVacc!O66</f>
        <v>118217</v>
      </c>
      <c r="P3" s="5">
        <f>TotalFullVacc!P66</f>
        <v>101271</v>
      </c>
      <c r="Q3" s="5">
        <f>TotalFullVacc!Q66</f>
        <v>74142</v>
      </c>
      <c r="R3" s="5">
        <f>TotalFullVacc!R66</f>
        <v>47626</v>
      </c>
      <c r="S3" s="5">
        <f>TotalFullVacc!S66</f>
        <v>23152</v>
      </c>
      <c r="T3" s="5">
        <f>TotalFullVacc!T66</f>
        <v>11119</v>
      </c>
    </row>
    <row r="4" spans="1:20" x14ac:dyDescent="0.2">
      <c r="A4" s="10" t="s">
        <v>22</v>
      </c>
      <c r="B4" s="6" t="s">
        <v>23</v>
      </c>
      <c r="C4" s="5">
        <f>TotalFullVacc!C67</f>
        <v>2097360</v>
      </c>
      <c r="D4" s="5">
        <f>TotalFullVacc!D67</f>
        <v>65510</v>
      </c>
      <c r="E4" s="5">
        <f>TotalFullVacc!E67</f>
        <v>159061</v>
      </c>
      <c r="F4" s="5">
        <f>TotalFullVacc!F67</f>
        <v>202282</v>
      </c>
      <c r="G4" s="5">
        <f>TotalFullVacc!G67</f>
        <v>158600</v>
      </c>
      <c r="H4" s="5">
        <f>TotalFullVacc!H67</f>
        <v>178004</v>
      </c>
      <c r="I4" s="5">
        <f>TotalFullVacc!I67</f>
        <v>161751</v>
      </c>
      <c r="J4" s="5">
        <f>TotalFullVacc!J67</f>
        <v>148656</v>
      </c>
      <c r="K4" s="5">
        <f>TotalFullVacc!K67</f>
        <v>146909</v>
      </c>
      <c r="L4" s="5">
        <f>TotalFullVacc!L67</f>
        <v>158086</v>
      </c>
      <c r="M4" s="5">
        <f>TotalFullVacc!M67</f>
        <v>149999</v>
      </c>
      <c r="N4" s="5">
        <f>TotalFullVacc!N67</f>
        <v>145820</v>
      </c>
      <c r="O4" s="5">
        <f>TotalFullVacc!O67</f>
        <v>124983</v>
      </c>
      <c r="P4" s="5">
        <f>TotalFullVacc!P67</f>
        <v>106765</v>
      </c>
      <c r="Q4" s="5">
        <f>TotalFullVacc!Q67</f>
        <v>81391</v>
      </c>
      <c r="R4" s="5">
        <f>TotalFullVacc!R67</f>
        <v>57101</v>
      </c>
      <c r="S4" s="5">
        <f>TotalFullVacc!S67</f>
        <v>32069</v>
      </c>
      <c r="T4" s="5">
        <f>TotalFullVacc!T67</f>
        <v>20373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DCBA-9869-AA4E-B437-D97C358AABEE}">
  <dimension ref="A1:T4"/>
  <sheetViews>
    <sheetView zoomScale="112" zoomScaleNormal="150" workbookViewId="0">
      <selection activeCell="C4" sqref="C4:T4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3" t="s">
        <v>22</v>
      </c>
      <c r="B2" s="6" t="s">
        <v>22</v>
      </c>
      <c r="C2" s="5">
        <f>MaoriFullVacc!C65</f>
        <v>524463</v>
      </c>
      <c r="D2" s="5">
        <f>MaoriFullVacc!D65</f>
        <v>15883</v>
      </c>
      <c r="E2" s="5">
        <f>MaoriFullVacc!E65</f>
        <v>67309</v>
      </c>
      <c r="F2" s="5">
        <f>MaoriFullVacc!F65</f>
        <v>79286</v>
      </c>
      <c r="G2" s="5">
        <f>MaoriFullVacc!G65</f>
        <v>50012</v>
      </c>
      <c r="H2" s="5">
        <f>MaoriFullVacc!H65</f>
        <v>47004</v>
      </c>
      <c r="I2" s="5">
        <f>MaoriFullVacc!I65</f>
        <v>37749</v>
      </c>
      <c r="J2" s="5">
        <f>MaoriFullVacc!J65</f>
        <v>34742</v>
      </c>
      <c r="K2" s="5">
        <f>MaoriFullVacc!K65</f>
        <v>36133</v>
      </c>
      <c r="L2" s="5">
        <f>MaoriFullVacc!L65</f>
        <v>37653</v>
      </c>
      <c r="M2" s="5">
        <f>MaoriFullVacc!M65</f>
        <v>34418</v>
      </c>
      <c r="N2" s="5">
        <f>MaoriFullVacc!N65</f>
        <v>31164</v>
      </c>
      <c r="O2" s="5">
        <f>MaoriFullVacc!O65</f>
        <v>21974</v>
      </c>
      <c r="P2" s="5">
        <f>MaoriFullVacc!P65</f>
        <v>15285</v>
      </c>
      <c r="Q2" s="5">
        <f>MaoriFullVacc!Q65</f>
        <v>8497</v>
      </c>
      <c r="R2" s="5">
        <f>MaoriFullVacc!R65</f>
        <v>4780</v>
      </c>
      <c r="S2" s="5">
        <f>MaoriFullVacc!S65</f>
        <v>1882</v>
      </c>
      <c r="T2" s="5">
        <f>MaoriFullVacc!T65</f>
        <v>692</v>
      </c>
    </row>
    <row r="3" spans="1:20" x14ac:dyDescent="0.2">
      <c r="A3" s="10" t="s">
        <v>22</v>
      </c>
      <c r="B3" s="6" t="s">
        <v>0</v>
      </c>
      <c r="C3" s="5">
        <f>MaoriFullVacc!C66</f>
        <v>250086</v>
      </c>
      <c r="D3" s="5">
        <f>MaoriFullVacc!D66</f>
        <v>8052</v>
      </c>
      <c r="E3" s="5">
        <f>MaoriFullVacc!E66</f>
        <v>34196</v>
      </c>
      <c r="F3" s="5">
        <f>MaoriFullVacc!F66</f>
        <v>39655</v>
      </c>
      <c r="G3" s="5">
        <f>MaoriFullVacc!G66</f>
        <v>24540</v>
      </c>
      <c r="H3" s="5">
        <f>MaoriFullVacc!H66</f>
        <v>22504</v>
      </c>
      <c r="I3" s="5">
        <f>MaoriFullVacc!I66</f>
        <v>17695</v>
      </c>
      <c r="J3" s="5">
        <f>MaoriFullVacc!J66</f>
        <v>16262</v>
      </c>
      <c r="K3" s="5">
        <f>MaoriFullVacc!K66</f>
        <v>16588</v>
      </c>
      <c r="L3" s="5">
        <f>MaoriFullVacc!L66</f>
        <v>17150</v>
      </c>
      <c r="M3" s="5">
        <f>MaoriFullVacc!M66</f>
        <v>15798</v>
      </c>
      <c r="N3" s="5">
        <f>MaoriFullVacc!N66</f>
        <v>14181</v>
      </c>
      <c r="O3" s="5">
        <f>MaoriFullVacc!O66</f>
        <v>9901</v>
      </c>
      <c r="P3" s="5">
        <f>MaoriFullVacc!P66</f>
        <v>6867</v>
      </c>
      <c r="Q3" s="5">
        <f>MaoriFullVacc!Q66</f>
        <v>3762</v>
      </c>
      <c r="R3" s="5">
        <f>MaoriFullVacc!R66</f>
        <v>2021</v>
      </c>
      <c r="S3" s="5">
        <f>MaoriFullVacc!S66</f>
        <v>734</v>
      </c>
      <c r="T3" s="5">
        <f>MaoriFullVacc!T66</f>
        <v>180</v>
      </c>
    </row>
    <row r="4" spans="1:20" x14ac:dyDescent="0.2">
      <c r="A4" s="10" t="s">
        <v>22</v>
      </c>
      <c r="B4" s="6" t="s">
        <v>23</v>
      </c>
      <c r="C4" s="5">
        <f>MaoriFullVacc!C67</f>
        <v>274377</v>
      </c>
      <c r="D4" s="5">
        <f>MaoriFullVacc!D67</f>
        <v>7831</v>
      </c>
      <c r="E4" s="5">
        <f>MaoriFullVacc!E67</f>
        <v>33113</v>
      </c>
      <c r="F4" s="5">
        <f>MaoriFullVacc!F67</f>
        <v>39631</v>
      </c>
      <c r="G4" s="5">
        <f>MaoriFullVacc!G67</f>
        <v>25472</v>
      </c>
      <c r="H4" s="5">
        <f>MaoriFullVacc!H67</f>
        <v>24500</v>
      </c>
      <c r="I4" s="5">
        <f>MaoriFullVacc!I67</f>
        <v>20054</v>
      </c>
      <c r="J4" s="5">
        <f>MaoriFullVacc!J67</f>
        <v>18480</v>
      </c>
      <c r="K4" s="5">
        <f>MaoriFullVacc!K67</f>
        <v>19545</v>
      </c>
      <c r="L4" s="5">
        <f>MaoriFullVacc!L67</f>
        <v>20503</v>
      </c>
      <c r="M4" s="5">
        <f>MaoriFullVacc!M67</f>
        <v>18620</v>
      </c>
      <c r="N4" s="5">
        <f>MaoriFullVacc!N67</f>
        <v>16983</v>
      </c>
      <c r="O4" s="5">
        <f>MaoriFullVacc!O67</f>
        <v>12073</v>
      </c>
      <c r="P4" s="5">
        <f>MaoriFullVacc!P67</f>
        <v>8418</v>
      </c>
      <c r="Q4" s="5">
        <f>MaoriFullVacc!Q67</f>
        <v>4735</v>
      </c>
      <c r="R4" s="5">
        <f>MaoriFullVacc!R67</f>
        <v>2759</v>
      </c>
      <c r="S4" s="5">
        <f>MaoriFullVacc!S67</f>
        <v>1148</v>
      </c>
      <c r="T4" s="5">
        <f>MaoriFullVacc!T67</f>
        <v>512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B38D-584E-F740-80AC-ED4B6788403F}">
  <dimension ref="A1:T4"/>
  <sheetViews>
    <sheetView zoomScale="112" zoomScaleNormal="150" workbookViewId="0">
      <selection activeCell="P22" sqref="P2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3" t="s">
        <v>22</v>
      </c>
      <c r="B2" s="6" t="s">
        <v>22</v>
      </c>
      <c r="C2" s="5">
        <f>NonMaoriFullVacc!C65</f>
        <v>3617294</v>
      </c>
      <c r="D2" s="5">
        <f>NonMaoriFullVacc!D65</f>
        <v>116868</v>
      </c>
      <c r="E2" s="5">
        <f>NonMaoriFullVacc!E65</f>
        <v>257566</v>
      </c>
      <c r="F2" s="5">
        <f>NonMaoriFullVacc!F65</f>
        <v>333454</v>
      </c>
      <c r="G2" s="5">
        <f>NonMaoriFullVacc!G65</f>
        <v>275882</v>
      </c>
      <c r="H2" s="5">
        <f>NonMaoriFullVacc!H65</f>
        <v>308341</v>
      </c>
      <c r="I2" s="5">
        <f>NonMaoriFullVacc!I65</f>
        <v>284288</v>
      </c>
      <c r="J2" s="5">
        <f>NonMaoriFullVacc!J65</f>
        <v>260239</v>
      </c>
      <c r="K2" s="5">
        <f>NonMaoriFullVacc!K65</f>
        <v>252233</v>
      </c>
      <c r="L2" s="5">
        <f>NonMaoriFullVacc!L65</f>
        <v>270704</v>
      </c>
      <c r="M2" s="5">
        <f>NonMaoriFullVacc!M65</f>
        <v>259018</v>
      </c>
      <c r="N2" s="5">
        <f>NonMaoriFullVacc!N65</f>
        <v>253602</v>
      </c>
      <c r="O2" s="5">
        <f>NonMaoriFullVacc!O65</f>
        <v>221226</v>
      </c>
      <c r="P2" s="5">
        <f>NonMaoriFullVacc!P65</f>
        <v>192751</v>
      </c>
      <c r="Q2" s="5">
        <f>NonMaoriFullVacc!Q65</f>
        <v>147036</v>
      </c>
      <c r="R2" s="5">
        <f>NonMaoriFullVacc!R65</f>
        <v>99947</v>
      </c>
      <c r="S2" s="5">
        <f>NonMaoriFullVacc!S65</f>
        <v>53339</v>
      </c>
      <c r="T2" s="5">
        <f>NonMaoriFullVacc!T65</f>
        <v>30800</v>
      </c>
    </row>
    <row r="3" spans="1:20" x14ac:dyDescent="0.2">
      <c r="A3" s="10" t="s">
        <v>22</v>
      </c>
      <c r="B3" s="6" t="s">
        <v>0</v>
      </c>
      <c r="C3" s="5">
        <f>NonMaoriFullVacc!C66</f>
        <v>1794311</v>
      </c>
      <c r="D3" s="5">
        <f>NonMaoriFullVacc!D66</f>
        <v>59189</v>
      </c>
      <c r="E3" s="5">
        <f>NonMaoriFullVacc!E66</f>
        <v>131618</v>
      </c>
      <c r="F3" s="5">
        <f>NonMaoriFullVacc!F66</f>
        <v>170803</v>
      </c>
      <c r="G3" s="5">
        <f>NonMaoriFullVacc!G66</f>
        <v>142754</v>
      </c>
      <c r="H3" s="5">
        <f>NonMaoriFullVacc!H66</f>
        <v>154837</v>
      </c>
      <c r="I3" s="5">
        <f>NonMaoriFullVacc!I66</f>
        <v>142591</v>
      </c>
      <c r="J3" s="5">
        <f>NonMaoriFullVacc!J66</f>
        <v>130063</v>
      </c>
      <c r="K3" s="5">
        <f>NonMaoriFullVacc!K66</f>
        <v>124869</v>
      </c>
      <c r="L3" s="5">
        <f>NonMaoriFullVacc!L66</f>
        <v>133121</v>
      </c>
      <c r="M3" s="5">
        <f>NonMaoriFullVacc!M66</f>
        <v>127639</v>
      </c>
      <c r="N3" s="5">
        <f>NonMaoriFullVacc!N66</f>
        <v>124765</v>
      </c>
      <c r="O3" s="5">
        <f>NonMaoriFullVacc!O66</f>
        <v>108316</v>
      </c>
      <c r="P3" s="5">
        <f>NonMaoriFullVacc!P66</f>
        <v>94404</v>
      </c>
      <c r="Q3" s="5">
        <f>NonMaoriFullVacc!Q66</f>
        <v>70380</v>
      </c>
      <c r="R3" s="5">
        <f>NonMaoriFullVacc!R66</f>
        <v>45605</v>
      </c>
      <c r="S3" s="5">
        <f>NonMaoriFullVacc!S66</f>
        <v>22418</v>
      </c>
      <c r="T3" s="5">
        <f>NonMaoriFullVacc!T66</f>
        <v>10939</v>
      </c>
    </row>
    <row r="4" spans="1:20" x14ac:dyDescent="0.2">
      <c r="A4" s="10" t="s">
        <v>22</v>
      </c>
      <c r="B4" s="6" t="s">
        <v>23</v>
      </c>
      <c r="C4" s="5">
        <f>NonMaoriFullVacc!C67</f>
        <v>1822983</v>
      </c>
      <c r="D4" s="5">
        <f>NonMaoriFullVacc!D67</f>
        <v>57679</v>
      </c>
      <c r="E4" s="5">
        <f>NonMaoriFullVacc!E67</f>
        <v>125948</v>
      </c>
      <c r="F4" s="5">
        <f>NonMaoriFullVacc!F67</f>
        <v>162651</v>
      </c>
      <c r="G4" s="5">
        <f>NonMaoriFullVacc!G67</f>
        <v>133128</v>
      </c>
      <c r="H4" s="5">
        <f>NonMaoriFullVacc!H67</f>
        <v>153504</v>
      </c>
      <c r="I4" s="5">
        <f>NonMaoriFullVacc!I67</f>
        <v>141697</v>
      </c>
      <c r="J4" s="5">
        <f>NonMaoriFullVacc!J67</f>
        <v>130176</v>
      </c>
      <c r="K4" s="5">
        <f>NonMaoriFullVacc!K67</f>
        <v>127364</v>
      </c>
      <c r="L4" s="5">
        <f>NonMaoriFullVacc!L67</f>
        <v>137583</v>
      </c>
      <c r="M4" s="5">
        <f>NonMaoriFullVacc!M67</f>
        <v>131379</v>
      </c>
      <c r="N4" s="5">
        <f>NonMaoriFullVacc!N67</f>
        <v>128837</v>
      </c>
      <c r="O4" s="5">
        <f>NonMaoriFullVacc!O67</f>
        <v>112910</v>
      </c>
      <c r="P4" s="5">
        <f>NonMaoriFullVacc!P67</f>
        <v>98347</v>
      </c>
      <c r="Q4" s="5">
        <f>NonMaoriFullVacc!Q67</f>
        <v>76656</v>
      </c>
      <c r="R4" s="5">
        <f>NonMaoriFullVacc!R67</f>
        <v>54342</v>
      </c>
      <c r="S4" s="5">
        <f>NonMaoriFullVacc!S67</f>
        <v>30921</v>
      </c>
      <c r="T4" s="5">
        <f>NonMaoriFullVacc!T67</f>
        <v>19861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20BC-2E26-BD49-A98B-C050AA1115EF}">
  <dimension ref="A1:T67"/>
  <sheetViews>
    <sheetView zoomScale="112" zoomScaleNormal="150" workbookViewId="0">
      <selection activeCell="D10" sqref="D10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492515</v>
      </c>
      <c r="D2" s="5">
        <v>39532</v>
      </c>
      <c r="E2" s="5">
        <v>34857</v>
      </c>
      <c r="F2" s="5">
        <v>50193</v>
      </c>
      <c r="G2" s="5">
        <v>51352</v>
      </c>
      <c r="H2" s="5">
        <v>51541</v>
      </c>
      <c r="I2" s="5">
        <v>41994</v>
      </c>
      <c r="J2" s="5">
        <v>35182</v>
      </c>
      <c r="K2" s="5">
        <v>33115</v>
      </c>
      <c r="L2" s="5">
        <v>32660</v>
      </c>
      <c r="M2" s="5">
        <v>30365</v>
      </c>
      <c r="N2" s="5">
        <v>26067</v>
      </c>
      <c r="O2" s="5">
        <v>21521</v>
      </c>
      <c r="P2" s="5">
        <v>16943</v>
      </c>
      <c r="Q2" s="5">
        <v>11481</v>
      </c>
      <c r="R2" s="5">
        <v>8172</v>
      </c>
      <c r="S2" s="5">
        <v>4543</v>
      </c>
      <c r="T2" s="37">
        <v>2997</v>
      </c>
    </row>
    <row r="3" spans="1:20" x14ac:dyDescent="0.2">
      <c r="A3" s="9" t="s">
        <v>1</v>
      </c>
      <c r="B3" s="6" t="s">
        <v>0</v>
      </c>
      <c r="C3" s="5">
        <v>245158</v>
      </c>
      <c r="D3" s="5">
        <v>20311</v>
      </c>
      <c r="E3" s="5">
        <v>17774</v>
      </c>
      <c r="F3" s="5">
        <v>24743</v>
      </c>
      <c r="G3" s="5">
        <v>26034</v>
      </c>
      <c r="H3" s="5">
        <v>25950</v>
      </c>
      <c r="I3" s="5">
        <v>21342</v>
      </c>
      <c r="J3" s="5">
        <v>17797</v>
      </c>
      <c r="K3" s="5">
        <v>16532</v>
      </c>
      <c r="L3" s="5">
        <v>16102</v>
      </c>
      <c r="M3" s="5">
        <v>15095</v>
      </c>
      <c r="N3" s="5">
        <v>12883</v>
      </c>
      <c r="O3" s="5">
        <v>10502</v>
      </c>
      <c r="P3" s="5">
        <v>8279</v>
      </c>
      <c r="Q3" s="5">
        <v>5327</v>
      </c>
      <c r="R3" s="5">
        <v>3606</v>
      </c>
      <c r="S3" s="5">
        <v>1896</v>
      </c>
      <c r="T3" s="37">
        <v>985</v>
      </c>
    </row>
    <row r="4" spans="1:20" x14ac:dyDescent="0.2">
      <c r="A4" s="9" t="s">
        <v>1</v>
      </c>
      <c r="B4" s="6" t="s">
        <v>23</v>
      </c>
      <c r="C4" s="5">
        <v>247357</v>
      </c>
      <c r="D4" s="5">
        <v>19221</v>
      </c>
      <c r="E4" s="5">
        <v>17083</v>
      </c>
      <c r="F4" s="5">
        <v>25450</v>
      </c>
      <c r="G4" s="5">
        <v>25318</v>
      </c>
      <c r="H4" s="5">
        <v>25591</v>
      </c>
      <c r="I4" s="5">
        <v>20652</v>
      </c>
      <c r="J4" s="5">
        <v>17385</v>
      </c>
      <c r="K4" s="5">
        <v>16583</v>
      </c>
      <c r="L4" s="5">
        <v>16558</v>
      </c>
      <c r="M4" s="5">
        <v>15270</v>
      </c>
      <c r="N4" s="5">
        <v>13184</v>
      </c>
      <c r="O4" s="5">
        <v>11019</v>
      </c>
      <c r="P4" s="5">
        <v>8664</v>
      </c>
      <c r="Q4" s="5">
        <v>6154</v>
      </c>
      <c r="R4" s="5">
        <v>4566</v>
      </c>
      <c r="S4" s="5">
        <v>2647</v>
      </c>
      <c r="T4" s="37">
        <v>2012</v>
      </c>
    </row>
    <row r="5" spans="1:20" ht="15" x14ac:dyDescent="0.2">
      <c r="A5" s="8" t="s">
        <v>2</v>
      </c>
      <c r="B5" s="6" t="s">
        <v>22</v>
      </c>
      <c r="C5" s="5">
        <v>256617</v>
      </c>
      <c r="D5" s="5">
        <v>25299</v>
      </c>
      <c r="E5" s="5">
        <v>21638</v>
      </c>
      <c r="F5" s="5">
        <v>20834</v>
      </c>
      <c r="G5" s="5">
        <v>17406</v>
      </c>
      <c r="H5" s="5">
        <v>18772</v>
      </c>
      <c r="I5" s="5">
        <v>16856</v>
      </c>
      <c r="J5" s="5">
        <v>15581</v>
      </c>
      <c r="K5" s="5">
        <v>16361</v>
      </c>
      <c r="L5" s="5">
        <v>16840</v>
      </c>
      <c r="M5" s="5">
        <v>16887</v>
      </c>
      <c r="N5" s="5">
        <v>16665</v>
      </c>
      <c r="O5" s="5">
        <v>15411</v>
      </c>
      <c r="P5" s="5">
        <v>14034</v>
      </c>
      <c r="Q5" s="5">
        <v>10477</v>
      </c>
      <c r="R5" s="5">
        <v>7508</v>
      </c>
      <c r="S5" s="5">
        <v>3800</v>
      </c>
      <c r="T5" s="37">
        <v>2248</v>
      </c>
    </row>
    <row r="6" spans="1:20" ht="15" x14ac:dyDescent="0.2">
      <c r="A6" s="8" t="s">
        <v>2</v>
      </c>
      <c r="B6" s="6" t="s">
        <v>0</v>
      </c>
      <c r="C6" s="5">
        <v>125980</v>
      </c>
      <c r="D6" s="5">
        <v>13020</v>
      </c>
      <c r="E6" s="5">
        <v>11174</v>
      </c>
      <c r="F6" s="5">
        <v>11061</v>
      </c>
      <c r="G6" s="5">
        <v>8973</v>
      </c>
      <c r="H6" s="5">
        <v>9145</v>
      </c>
      <c r="I6" s="5">
        <v>8151</v>
      </c>
      <c r="J6" s="5">
        <v>7578</v>
      </c>
      <c r="K6" s="5">
        <v>7945</v>
      </c>
      <c r="L6" s="5">
        <v>8054</v>
      </c>
      <c r="M6" s="5">
        <v>8026</v>
      </c>
      <c r="N6" s="5">
        <v>7889</v>
      </c>
      <c r="O6" s="5">
        <v>7320</v>
      </c>
      <c r="P6" s="5">
        <v>6745</v>
      </c>
      <c r="Q6" s="5">
        <v>4972</v>
      </c>
      <c r="R6" s="5">
        <v>3436</v>
      </c>
      <c r="S6" s="5">
        <v>1661</v>
      </c>
      <c r="T6" s="37">
        <v>830</v>
      </c>
    </row>
    <row r="7" spans="1:20" ht="15" x14ac:dyDescent="0.2">
      <c r="A7" s="8" t="s">
        <v>2</v>
      </c>
      <c r="B7" s="6" t="s">
        <v>23</v>
      </c>
      <c r="C7" s="5">
        <v>130637</v>
      </c>
      <c r="D7" s="5">
        <v>12279</v>
      </c>
      <c r="E7" s="5">
        <v>10464</v>
      </c>
      <c r="F7" s="5">
        <v>9773</v>
      </c>
      <c r="G7" s="5">
        <v>8433</v>
      </c>
      <c r="H7" s="5">
        <v>9627</v>
      </c>
      <c r="I7" s="5">
        <v>8705</v>
      </c>
      <c r="J7" s="5">
        <v>8003</v>
      </c>
      <c r="K7" s="5">
        <v>8416</v>
      </c>
      <c r="L7" s="5">
        <v>8786</v>
      </c>
      <c r="M7" s="5">
        <v>8861</v>
      </c>
      <c r="N7" s="5">
        <v>8776</v>
      </c>
      <c r="O7" s="5">
        <v>8091</v>
      </c>
      <c r="P7" s="5">
        <v>7289</v>
      </c>
      <c r="Q7" s="5">
        <v>5505</v>
      </c>
      <c r="R7" s="5">
        <v>4072</v>
      </c>
      <c r="S7" s="5">
        <v>2139</v>
      </c>
      <c r="T7" s="37">
        <v>1418</v>
      </c>
    </row>
    <row r="8" spans="1:20" x14ac:dyDescent="0.2">
      <c r="A8" s="9" t="s">
        <v>3</v>
      </c>
      <c r="B8" s="6" t="s">
        <v>22</v>
      </c>
      <c r="C8" s="5">
        <v>561872</v>
      </c>
      <c r="D8" s="14">
        <v>49685</v>
      </c>
      <c r="E8" s="14">
        <v>43245</v>
      </c>
      <c r="F8" s="14">
        <v>53841</v>
      </c>
      <c r="G8" s="14">
        <v>43192</v>
      </c>
      <c r="H8" s="14">
        <v>46503</v>
      </c>
      <c r="I8" s="14">
        <v>40637</v>
      </c>
      <c r="J8" s="14">
        <v>36820</v>
      </c>
      <c r="K8" s="14">
        <v>37779</v>
      </c>
      <c r="L8" s="14">
        <v>39861</v>
      </c>
      <c r="M8" s="14">
        <v>37495</v>
      </c>
      <c r="N8" s="14">
        <v>35395</v>
      </c>
      <c r="O8" s="14">
        <v>29790</v>
      </c>
      <c r="P8" s="14">
        <v>25814</v>
      </c>
      <c r="Q8" s="14">
        <v>17996</v>
      </c>
      <c r="R8" s="14">
        <v>12578</v>
      </c>
      <c r="S8" s="14">
        <v>6890</v>
      </c>
      <c r="T8" s="37">
        <v>4351</v>
      </c>
    </row>
    <row r="9" spans="1:20" x14ac:dyDescent="0.2">
      <c r="A9" s="9" t="s">
        <v>3</v>
      </c>
      <c r="B9" s="6" t="s">
        <v>0</v>
      </c>
      <c r="C9" s="5">
        <v>279175</v>
      </c>
      <c r="D9" s="14">
        <v>25379</v>
      </c>
      <c r="E9" s="14">
        <v>22261</v>
      </c>
      <c r="F9" s="14">
        <v>27942</v>
      </c>
      <c r="G9" s="14">
        <v>22108</v>
      </c>
      <c r="H9" s="14">
        <v>23347</v>
      </c>
      <c r="I9" s="14">
        <v>20475</v>
      </c>
      <c r="J9" s="14">
        <v>18225</v>
      </c>
      <c r="K9" s="14">
        <v>18520</v>
      </c>
      <c r="L9" s="14">
        <v>19673</v>
      </c>
      <c r="M9" s="14">
        <v>18438</v>
      </c>
      <c r="N9" s="14">
        <v>17389</v>
      </c>
      <c r="O9" s="14">
        <v>14507</v>
      </c>
      <c r="P9" s="14">
        <v>12498</v>
      </c>
      <c r="Q9" s="14">
        <v>8500</v>
      </c>
      <c r="R9" s="14">
        <v>5603</v>
      </c>
      <c r="S9" s="14">
        <v>2810</v>
      </c>
      <c r="T9" s="37">
        <v>1500</v>
      </c>
    </row>
    <row r="10" spans="1:20" x14ac:dyDescent="0.2">
      <c r="A10" s="9" t="s">
        <v>3</v>
      </c>
      <c r="B10" s="6" t="s">
        <v>23</v>
      </c>
      <c r="C10" s="5">
        <v>282697</v>
      </c>
      <c r="D10" s="14">
        <v>24306</v>
      </c>
      <c r="E10" s="14">
        <v>20984</v>
      </c>
      <c r="F10" s="14">
        <v>25899</v>
      </c>
      <c r="G10" s="14">
        <v>21084</v>
      </c>
      <c r="H10" s="14">
        <v>23156</v>
      </c>
      <c r="I10" s="14">
        <v>20162</v>
      </c>
      <c r="J10" s="14">
        <v>18595</v>
      </c>
      <c r="K10" s="14">
        <v>19259</v>
      </c>
      <c r="L10" s="14">
        <v>20188</v>
      </c>
      <c r="M10" s="14">
        <v>19057</v>
      </c>
      <c r="N10" s="14">
        <v>18006</v>
      </c>
      <c r="O10" s="14">
        <v>15283</v>
      </c>
      <c r="P10" s="14">
        <v>13316</v>
      </c>
      <c r="Q10" s="14">
        <v>9496</v>
      </c>
      <c r="R10" s="14">
        <v>6975</v>
      </c>
      <c r="S10" s="14">
        <v>4080</v>
      </c>
      <c r="T10" s="37">
        <v>2851</v>
      </c>
    </row>
    <row r="11" spans="1:20" x14ac:dyDescent="0.2">
      <c r="A11" s="9" t="s">
        <v>4</v>
      </c>
      <c r="B11" s="6" t="s">
        <v>22</v>
      </c>
      <c r="C11" s="5">
        <v>309727</v>
      </c>
      <c r="D11" s="15">
        <v>26050</v>
      </c>
      <c r="E11" s="15">
        <v>23264</v>
      </c>
      <c r="F11" s="15">
        <v>34047</v>
      </c>
      <c r="G11" s="15">
        <v>28425</v>
      </c>
      <c r="H11" s="15">
        <v>27259</v>
      </c>
      <c r="I11" s="15">
        <v>23270</v>
      </c>
      <c r="J11" s="15">
        <v>21599</v>
      </c>
      <c r="K11" s="15">
        <v>21975</v>
      </c>
      <c r="L11" s="15">
        <v>21752</v>
      </c>
      <c r="M11" s="15">
        <v>20201</v>
      </c>
      <c r="N11" s="15">
        <v>17175</v>
      </c>
      <c r="O11" s="15">
        <v>13812</v>
      </c>
      <c r="P11" s="15">
        <v>11650</v>
      </c>
      <c r="Q11" s="15">
        <v>8470</v>
      </c>
      <c r="R11" s="15">
        <v>5727</v>
      </c>
      <c r="S11" s="15">
        <v>3167</v>
      </c>
      <c r="T11" s="37">
        <v>1884</v>
      </c>
    </row>
    <row r="12" spans="1:20" x14ac:dyDescent="0.2">
      <c r="A12" s="9" t="s">
        <v>4</v>
      </c>
      <c r="B12" s="6" t="s">
        <v>0</v>
      </c>
      <c r="C12" s="5">
        <v>150789</v>
      </c>
      <c r="D12" s="15">
        <v>13349</v>
      </c>
      <c r="E12" s="15">
        <v>11820</v>
      </c>
      <c r="F12" s="15">
        <v>16241</v>
      </c>
      <c r="G12" s="15">
        <v>14026</v>
      </c>
      <c r="H12" s="15">
        <v>13435</v>
      </c>
      <c r="I12" s="15">
        <v>11308</v>
      </c>
      <c r="J12" s="15">
        <v>10692</v>
      </c>
      <c r="K12" s="15">
        <v>10759</v>
      </c>
      <c r="L12" s="15">
        <v>10444</v>
      </c>
      <c r="M12" s="15">
        <v>9880</v>
      </c>
      <c r="N12" s="15">
        <v>8407</v>
      </c>
      <c r="O12" s="15">
        <v>6594</v>
      </c>
      <c r="P12" s="15">
        <v>5537</v>
      </c>
      <c r="Q12" s="15">
        <v>3930</v>
      </c>
      <c r="R12" s="15">
        <v>2456</v>
      </c>
      <c r="S12" s="15">
        <v>1257</v>
      </c>
      <c r="T12" s="37">
        <v>654</v>
      </c>
    </row>
    <row r="13" spans="1:20" x14ac:dyDescent="0.2">
      <c r="A13" s="9" t="s">
        <v>4</v>
      </c>
      <c r="B13" s="6" t="s">
        <v>23</v>
      </c>
      <c r="C13" s="5">
        <v>158938</v>
      </c>
      <c r="D13" s="15">
        <v>12701</v>
      </c>
      <c r="E13" s="15">
        <v>11444</v>
      </c>
      <c r="F13" s="15">
        <v>17806</v>
      </c>
      <c r="G13" s="15">
        <v>14399</v>
      </c>
      <c r="H13" s="15">
        <v>13824</v>
      </c>
      <c r="I13" s="15">
        <v>11962</v>
      </c>
      <c r="J13" s="15">
        <v>10907</v>
      </c>
      <c r="K13" s="15">
        <v>11216</v>
      </c>
      <c r="L13" s="15">
        <v>11308</v>
      </c>
      <c r="M13" s="15">
        <v>10321</v>
      </c>
      <c r="N13" s="15">
        <v>8768</v>
      </c>
      <c r="O13" s="15">
        <v>7218</v>
      </c>
      <c r="P13" s="15">
        <v>6113</v>
      </c>
      <c r="Q13" s="15">
        <v>4540</v>
      </c>
      <c r="R13" s="15">
        <v>3271</v>
      </c>
      <c r="S13" s="15">
        <v>1910</v>
      </c>
      <c r="T13" s="37">
        <v>1230</v>
      </c>
    </row>
    <row r="14" spans="1:20" x14ac:dyDescent="0.2">
      <c r="A14" s="9" t="s">
        <v>5</v>
      </c>
      <c r="B14" s="6" t="s">
        <v>22</v>
      </c>
      <c r="C14" s="5">
        <v>574285</v>
      </c>
      <c r="D14" s="5">
        <v>64751</v>
      </c>
      <c r="E14" s="5">
        <v>53227</v>
      </c>
      <c r="F14" s="5">
        <v>59542</v>
      </c>
      <c r="G14" s="5">
        <v>48847</v>
      </c>
      <c r="H14" s="5">
        <v>51078</v>
      </c>
      <c r="I14" s="5">
        <v>44720</v>
      </c>
      <c r="J14" s="5">
        <v>39604</v>
      </c>
      <c r="K14" s="5">
        <v>36957</v>
      </c>
      <c r="L14" s="5">
        <v>37688</v>
      </c>
      <c r="M14" s="5">
        <v>35166</v>
      </c>
      <c r="N14" s="5">
        <v>30083</v>
      </c>
      <c r="O14" s="5">
        <v>24507</v>
      </c>
      <c r="P14" s="5">
        <v>19367</v>
      </c>
      <c r="Q14" s="5">
        <v>13230</v>
      </c>
      <c r="R14" s="5">
        <v>8768</v>
      </c>
      <c r="S14" s="5">
        <v>4389</v>
      </c>
      <c r="T14" s="37">
        <v>2361</v>
      </c>
    </row>
    <row r="15" spans="1:20" x14ac:dyDescent="0.2">
      <c r="A15" s="9" t="s">
        <v>5</v>
      </c>
      <c r="B15" s="6" t="s">
        <v>0</v>
      </c>
      <c r="C15" s="5">
        <v>286439</v>
      </c>
      <c r="D15" s="5">
        <v>33420</v>
      </c>
      <c r="E15" s="5">
        <v>27350</v>
      </c>
      <c r="F15" s="5">
        <v>30780</v>
      </c>
      <c r="G15" s="5">
        <v>24808</v>
      </c>
      <c r="H15" s="5">
        <v>25342</v>
      </c>
      <c r="I15" s="5">
        <v>21957</v>
      </c>
      <c r="J15" s="5">
        <v>19709</v>
      </c>
      <c r="K15" s="5">
        <v>18207</v>
      </c>
      <c r="L15" s="5">
        <v>18571</v>
      </c>
      <c r="M15" s="5">
        <v>17565</v>
      </c>
      <c r="N15" s="5">
        <v>14764</v>
      </c>
      <c r="O15" s="5">
        <v>11812</v>
      </c>
      <c r="P15" s="5">
        <v>9371</v>
      </c>
      <c r="Q15" s="5">
        <v>6253</v>
      </c>
      <c r="R15" s="5">
        <v>3879</v>
      </c>
      <c r="S15" s="5">
        <v>1821</v>
      </c>
      <c r="T15" s="37">
        <v>830</v>
      </c>
    </row>
    <row r="16" spans="1:20" x14ac:dyDescent="0.2">
      <c r="A16" s="9" t="s">
        <v>5</v>
      </c>
      <c r="B16" s="6" t="s">
        <v>23</v>
      </c>
      <c r="C16" s="5">
        <v>287846</v>
      </c>
      <c r="D16" s="5">
        <v>31331</v>
      </c>
      <c r="E16" s="5">
        <v>25877</v>
      </c>
      <c r="F16" s="5">
        <v>28762</v>
      </c>
      <c r="G16" s="5">
        <v>24039</v>
      </c>
      <c r="H16" s="5">
        <v>25736</v>
      </c>
      <c r="I16" s="5">
        <v>22763</v>
      </c>
      <c r="J16" s="5">
        <v>19895</v>
      </c>
      <c r="K16" s="5">
        <v>18750</v>
      </c>
      <c r="L16" s="5">
        <v>19117</v>
      </c>
      <c r="M16" s="5">
        <v>17601</v>
      </c>
      <c r="N16" s="5">
        <v>15319</v>
      </c>
      <c r="O16" s="5">
        <v>12695</v>
      </c>
      <c r="P16" s="5">
        <v>9996</v>
      </c>
      <c r="Q16" s="5">
        <v>6977</v>
      </c>
      <c r="R16" s="5">
        <v>4889</v>
      </c>
      <c r="S16" s="5">
        <v>2568</v>
      </c>
      <c r="T16" s="37">
        <v>1531</v>
      </c>
    </row>
    <row r="17" spans="1:20" x14ac:dyDescent="0.2">
      <c r="A17" s="12" t="s">
        <v>6</v>
      </c>
      <c r="B17" s="6" t="s">
        <v>22</v>
      </c>
      <c r="C17" s="5">
        <v>170742</v>
      </c>
      <c r="D17" s="5">
        <v>17244</v>
      </c>
      <c r="E17" s="5">
        <v>15290</v>
      </c>
      <c r="F17" s="5">
        <v>14405</v>
      </c>
      <c r="G17" s="5">
        <v>11427</v>
      </c>
      <c r="H17" s="5">
        <v>12078</v>
      </c>
      <c r="I17" s="5">
        <v>10429</v>
      </c>
      <c r="J17" s="5">
        <v>10188</v>
      </c>
      <c r="K17" s="5">
        <v>11167</v>
      </c>
      <c r="L17" s="5">
        <v>11679</v>
      </c>
      <c r="M17" s="5">
        <v>11697</v>
      </c>
      <c r="N17" s="5">
        <v>11502</v>
      </c>
      <c r="O17" s="5">
        <v>10006</v>
      </c>
      <c r="P17" s="5">
        <v>9157</v>
      </c>
      <c r="Q17" s="5">
        <v>6479</v>
      </c>
      <c r="R17" s="5">
        <v>4353</v>
      </c>
      <c r="S17" s="5">
        <v>2347</v>
      </c>
      <c r="T17" s="37">
        <v>1294</v>
      </c>
    </row>
    <row r="18" spans="1:20" x14ac:dyDescent="0.2">
      <c r="A18" s="9" t="s">
        <v>6</v>
      </c>
      <c r="B18" s="6" t="s">
        <v>0</v>
      </c>
      <c r="C18" s="5">
        <v>83841</v>
      </c>
      <c r="D18" s="5">
        <v>8710</v>
      </c>
      <c r="E18" s="5">
        <v>7703</v>
      </c>
      <c r="F18" s="5">
        <v>7535</v>
      </c>
      <c r="G18" s="5">
        <v>5909</v>
      </c>
      <c r="H18" s="5">
        <v>5995</v>
      </c>
      <c r="I18" s="5">
        <v>5256</v>
      </c>
      <c r="J18" s="5">
        <v>4989</v>
      </c>
      <c r="K18" s="5">
        <v>5408</v>
      </c>
      <c r="L18" s="5">
        <v>5583</v>
      </c>
      <c r="M18" s="5">
        <v>5613</v>
      </c>
      <c r="N18" s="5">
        <v>5531</v>
      </c>
      <c r="O18" s="5">
        <v>4755</v>
      </c>
      <c r="P18" s="5">
        <v>4394</v>
      </c>
      <c r="Q18" s="5">
        <v>3049</v>
      </c>
      <c r="R18" s="5">
        <v>1969</v>
      </c>
      <c r="S18" s="5">
        <v>972</v>
      </c>
      <c r="T18" s="37">
        <v>470</v>
      </c>
    </row>
    <row r="19" spans="1:20" x14ac:dyDescent="0.2">
      <c r="A19" s="9" t="s">
        <v>6</v>
      </c>
      <c r="B19" s="6" t="s">
        <v>23</v>
      </c>
      <c r="C19" s="5">
        <v>86901</v>
      </c>
      <c r="D19" s="5">
        <v>8534</v>
      </c>
      <c r="E19" s="5">
        <v>7587</v>
      </c>
      <c r="F19" s="5">
        <v>6870</v>
      </c>
      <c r="G19" s="5">
        <v>5518</v>
      </c>
      <c r="H19" s="5">
        <v>6083</v>
      </c>
      <c r="I19" s="5">
        <v>5173</v>
      </c>
      <c r="J19" s="5">
        <v>5199</v>
      </c>
      <c r="K19" s="5">
        <v>5759</v>
      </c>
      <c r="L19" s="5">
        <v>6096</v>
      </c>
      <c r="M19" s="5">
        <v>6084</v>
      </c>
      <c r="N19" s="5">
        <v>5971</v>
      </c>
      <c r="O19" s="5">
        <v>5251</v>
      </c>
      <c r="P19" s="5">
        <v>4763</v>
      </c>
      <c r="Q19" s="5">
        <v>3430</v>
      </c>
      <c r="R19" s="5">
        <v>2384</v>
      </c>
      <c r="S19" s="5">
        <v>1375</v>
      </c>
      <c r="T19" s="37">
        <v>824</v>
      </c>
    </row>
    <row r="20" spans="1:20" x14ac:dyDescent="0.2">
      <c r="A20" s="9" t="s">
        <v>7</v>
      </c>
      <c r="B20" s="6" t="s">
        <v>22</v>
      </c>
      <c r="C20" s="5">
        <v>149305</v>
      </c>
      <c r="D20" s="5">
        <v>14619</v>
      </c>
      <c r="E20" s="5">
        <v>12079</v>
      </c>
      <c r="F20" s="5">
        <v>12891</v>
      </c>
      <c r="G20" s="5">
        <v>10950</v>
      </c>
      <c r="H20" s="5">
        <v>12670</v>
      </c>
      <c r="I20" s="5">
        <v>11820</v>
      </c>
      <c r="J20" s="5">
        <v>10701</v>
      </c>
      <c r="K20" s="5">
        <v>10404</v>
      </c>
      <c r="L20" s="5">
        <v>10691</v>
      </c>
      <c r="M20" s="5">
        <v>9786</v>
      </c>
      <c r="N20" s="5">
        <v>9315</v>
      </c>
      <c r="O20" s="5">
        <v>7306</v>
      </c>
      <c r="P20" s="5">
        <v>6032</v>
      </c>
      <c r="Q20" s="5">
        <v>4262</v>
      </c>
      <c r="R20" s="5">
        <v>3116</v>
      </c>
      <c r="S20" s="5">
        <v>1671</v>
      </c>
      <c r="T20" s="37">
        <v>992</v>
      </c>
    </row>
    <row r="21" spans="1:20" x14ac:dyDescent="0.2">
      <c r="A21" s="9" t="s">
        <v>7</v>
      </c>
      <c r="B21" s="6" t="s">
        <v>0</v>
      </c>
      <c r="C21" s="5">
        <v>73746</v>
      </c>
      <c r="D21" s="5">
        <v>7437</v>
      </c>
      <c r="E21" s="5">
        <v>6236</v>
      </c>
      <c r="F21" s="5">
        <v>6742</v>
      </c>
      <c r="G21" s="5">
        <v>5529</v>
      </c>
      <c r="H21" s="5">
        <v>6134</v>
      </c>
      <c r="I21" s="5">
        <v>5798</v>
      </c>
      <c r="J21" s="5">
        <v>5325</v>
      </c>
      <c r="K21" s="5">
        <v>5121</v>
      </c>
      <c r="L21" s="5">
        <v>5313</v>
      </c>
      <c r="M21" s="5">
        <v>4793</v>
      </c>
      <c r="N21" s="5">
        <v>4568</v>
      </c>
      <c r="O21" s="5">
        <v>3582</v>
      </c>
      <c r="P21" s="5">
        <v>2907</v>
      </c>
      <c r="Q21" s="5">
        <v>1929</v>
      </c>
      <c r="R21" s="5">
        <v>1360</v>
      </c>
      <c r="S21" s="5">
        <v>653</v>
      </c>
      <c r="T21" s="37">
        <v>319</v>
      </c>
    </row>
    <row r="22" spans="1:20" x14ac:dyDescent="0.2">
      <c r="A22" s="9" t="s">
        <v>7</v>
      </c>
      <c r="B22" s="6" t="s">
        <v>23</v>
      </c>
      <c r="C22" s="5">
        <v>75559</v>
      </c>
      <c r="D22" s="5">
        <v>7182</v>
      </c>
      <c r="E22" s="5">
        <v>5843</v>
      </c>
      <c r="F22" s="5">
        <v>6149</v>
      </c>
      <c r="G22" s="5">
        <v>5421</v>
      </c>
      <c r="H22" s="5">
        <v>6536</v>
      </c>
      <c r="I22" s="5">
        <v>6022</v>
      </c>
      <c r="J22" s="5">
        <v>5376</v>
      </c>
      <c r="K22" s="5">
        <v>5283</v>
      </c>
      <c r="L22" s="5">
        <v>5378</v>
      </c>
      <c r="M22" s="5">
        <v>4993</v>
      </c>
      <c r="N22" s="5">
        <v>4747</v>
      </c>
      <c r="O22" s="5">
        <v>3724</v>
      </c>
      <c r="P22" s="5">
        <v>3125</v>
      </c>
      <c r="Q22" s="5">
        <v>2333</v>
      </c>
      <c r="R22" s="5">
        <v>1756</v>
      </c>
      <c r="S22" s="5">
        <v>1018</v>
      </c>
      <c r="T22" s="37">
        <v>673</v>
      </c>
    </row>
    <row r="23" spans="1:20" x14ac:dyDescent="0.2">
      <c r="A23" s="9" t="s">
        <v>8</v>
      </c>
      <c r="B23" s="6" t="s">
        <v>22</v>
      </c>
      <c r="C23" s="5">
        <v>110720</v>
      </c>
      <c r="D23" s="5">
        <v>11815</v>
      </c>
      <c r="E23" s="5">
        <v>10198</v>
      </c>
      <c r="F23" s="5">
        <v>9626</v>
      </c>
      <c r="G23" s="5">
        <v>7663</v>
      </c>
      <c r="H23" s="5">
        <v>8417</v>
      </c>
      <c r="I23" s="5">
        <v>7290</v>
      </c>
      <c r="J23" s="5">
        <v>6755</v>
      </c>
      <c r="K23" s="5">
        <v>7238</v>
      </c>
      <c r="L23" s="5">
        <v>7520</v>
      </c>
      <c r="M23" s="5">
        <v>7477</v>
      </c>
      <c r="N23" s="5">
        <v>7238</v>
      </c>
      <c r="O23" s="5">
        <v>6041</v>
      </c>
      <c r="P23" s="5">
        <v>5435</v>
      </c>
      <c r="Q23" s="5">
        <v>3633</v>
      </c>
      <c r="R23" s="5">
        <v>2469</v>
      </c>
      <c r="S23" s="5">
        <v>1223</v>
      </c>
      <c r="T23" s="37">
        <v>682</v>
      </c>
    </row>
    <row r="24" spans="1:20" x14ac:dyDescent="0.2">
      <c r="A24" s="9" t="s">
        <v>8</v>
      </c>
      <c r="B24" s="6" t="s">
        <v>0</v>
      </c>
      <c r="C24" s="5">
        <v>54655</v>
      </c>
      <c r="D24" s="5">
        <v>6144</v>
      </c>
      <c r="E24" s="5">
        <v>5317</v>
      </c>
      <c r="F24" s="5">
        <v>5050</v>
      </c>
      <c r="G24" s="5">
        <v>3896</v>
      </c>
      <c r="H24" s="5">
        <v>4063</v>
      </c>
      <c r="I24" s="5">
        <v>3534</v>
      </c>
      <c r="J24" s="5">
        <v>3231</v>
      </c>
      <c r="K24" s="5">
        <v>3521</v>
      </c>
      <c r="L24" s="5">
        <v>3633</v>
      </c>
      <c r="M24" s="5">
        <v>3602</v>
      </c>
      <c r="N24" s="5">
        <v>3479</v>
      </c>
      <c r="O24" s="5">
        <v>2894</v>
      </c>
      <c r="P24" s="5">
        <v>2620</v>
      </c>
      <c r="Q24" s="5">
        <v>1765</v>
      </c>
      <c r="R24" s="5">
        <v>1155</v>
      </c>
      <c r="S24" s="5">
        <v>514</v>
      </c>
      <c r="T24" s="37">
        <v>237</v>
      </c>
    </row>
    <row r="25" spans="1:20" x14ac:dyDescent="0.2">
      <c r="A25" s="9" t="s">
        <v>8</v>
      </c>
      <c r="B25" s="6" t="s">
        <v>23</v>
      </c>
      <c r="C25" s="5">
        <v>56065</v>
      </c>
      <c r="D25" s="5">
        <v>5671</v>
      </c>
      <c r="E25" s="5">
        <v>4881</v>
      </c>
      <c r="F25" s="5">
        <v>4576</v>
      </c>
      <c r="G25" s="5">
        <v>3767</v>
      </c>
      <c r="H25" s="5">
        <v>4354</v>
      </c>
      <c r="I25" s="5">
        <v>3756</v>
      </c>
      <c r="J25" s="5">
        <v>3524</v>
      </c>
      <c r="K25" s="5">
        <v>3717</v>
      </c>
      <c r="L25" s="5">
        <v>3887</v>
      </c>
      <c r="M25" s="5">
        <v>3875</v>
      </c>
      <c r="N25" s="5">
        <v>3759</v>
      </c>
      <c r="O25" s="5">
        <v>3147</v>
      </c>
      <c r="P25" s="5">
        <v>2815</v>
      </c>
      <c r="Q25" s="5">
        <v>1868</v>
      </c>
      <c r="R25" s="5">
        <v>1314</v>
      </c>
      <c r="S25" s="5">
        <v>709</v>
      </c>
      <c r="T25" s="37">
        <v>445</v>
      </c>
    </row>
    <row r="26" spans="1:20" x14ac:dyDescent="0.2">
      <c r="A26" s="9" t="s">
        <v>9</v>
      </c>
      <c r="B26" s="6" t="s">
        <v>22</v>
      </c>
      <c r="C26" s="5">
        <v>177552</v>
      </c>
      <c r="D26" s="5">
        <v>17583</v>
      </c>
      <c r="E26" s="5">
        <v>15188</v>
      </c>
      <c r="F26" s="5">
        <v>17139</v>
      </c>
      <c r="G26" s="5">
        <v>12706</v>
      </c>
      <c r="H26" s="5">
        <v>12715</v>
      </c>
      <c r="I26" s="5">
        <v>11176</v>
      </c>
      <c r="J26" s="5">
        <v>10362</v>
      </c>
      <c r="K26" s="5">
        <v>10762</v>
      </c>
      <c r="L26" s="5">
        <v>11661</v>
      </c>
      <c r="M26" s="5">
        <v>11953</v>
      </c>
      <c r="N26" s="5">
        <v>11772</v>
      </c>
      <c r="O26" s="5">
        <v>10041</v>
      </c>
      <c r="P26" s="5">
        <v>9246</v>
      </c>
      <c r="Q26" s="5">
        <v>6712</v>
      </c>
      <c r="R26" s="5">
        <v>4670</v>
      </c>
      <c r="S26" s="5">
        <v>2477</v>
      </c>
      <c r="T26" s="37">
        <v>1389</v>
      </c>
    </row>
    <row r="27" spans="1:20" x14ac:dyDescent="0.2">
      <c r="A27" s="9" t="s">
        <v>9</v>
      </c>
      <c r="B27" s="6" t="s">
        <v>0</v>
      </c>
      <c r="C27" s="5">
        <v>86888</v>
      </c>
      <c r="D27" s="5">
        <v>9002</v>
      </c>
      <c r="E27" s="5">
        <v>7875</v>
      </c>
      <c r="F27" s="5">
        <v>8618</v>
      </c>
      <c r="G27" s="5">
        <v>6494</v>
      </c>
      <c r="H27" s="5">
        <v>6178</v>
      </c>
      <c r="I27" s="5">
        <v>5428</v>
      </c>
      <c r="J27" s="5">
        <v>5074</v>
      </c>
      <c r="K27" s="5">
        <v>5199</v>
      </c>
      <c r="L27" s="5">
        <v>5516</v>
      </c>
      <c r="M27" s="5">
        <v>5732</v>
      </c>
      <c r="N27" s="5">
        <v>5723</v>
      </c>
      <c r="O27" s="5">
        <v>4805</v>
      </c>
      <c r="P27" s="5">
        <v>4381</v>
      </c>
      <c r="Q27" s="5">
        <v>3231</v>
      </c>
      <c r="R27" s="5">
        <v>2136</v>
      </c>
      <c r="S27" s="5">
        <v>1017</v>
      </c>
      <c r="T27" s="37">
        <v>479</v>
      </c>
    </row>
    <row r="28" spans="1:20" x14ac:dyDescent="0.2">
      <c r="A28" s="9" t="s">
        <v>9</v>
      </c>
      <c r="B28" s="6" t="s">
        <v>23</v>
      </c>
      <c r="C28" s="5">
        <v>90664</v>
      </c>
      <c r="D28" s="5">
        <v>8581</v>
      </c>
      <c r="E28" s="5">
        <v>7313</v>
      </c>
      <c r="F28" s="5">
        <v>8521</v>
      </c>
      <c r="G28" s="5">
        <v>6212</v>
      </c>
      <c r="H28" s="5">
        <v>6537</v>
      </c>
      <c r="I28" s="5">
        <v>5748</v>
      </c>
      <c r="J28" s="5">
        <v>5288</v>
      </c>
      <c r="K28" s="5">
        <v>5563</v>
      </c>
      <c r="L28" s="5">
        <v>6145</v>
      </c>
      <c r="M28" s="5">
        <v>6221</v>
      </c>
      <c r="N28" s="5">
        <v>6049</v>
      </c>
      <c r="O28" s="5">
        <v>5236</v>
      </c>
      <c r="P28" s="5">
        <v>4865</v>
      </c>
      <c r="Q28" s="5">
        <v>3481</v>
      </c>
      <c r="R28" s="5">
        <v>2534</v>
      </c>
      <c r="S28" s="5">
        <v>1460</v>
      </c>
      <c r="T28" s="37">
        <v>910</v>
      </c>
    </row>
    <row r="29" spans="1:20" x14ac:dyDescent="0.2">
      <c r="A29" s="9" t="s">
        <v>10</v>
      </c>
      <c r="B29" s="6" t="s">
        <v>22</v>
      </c>
      <c r="C29" s="5">
        <v>156934</v>
      </c>
      <c r="D29" s="5">
        <v>13357</v>
      </c>
      <c r="E29" s="5">
        <v>12115</v>
      </c>
      <c r="F29" s="5">
        <v>11203</v>
      </c>
      <c r="G29" s="5">
        <v>9159</v>
      </c>
      <c r="H29" s="5">
        <v>10102</v>
      </c>
      <c r="I29" s="5">
        <v>9864</v>
      </c>
      <c r="J29" s="5">
        <v>9428</v>
      </c>
      <c r="K29" s="5">
        <v>10745</v>
      </c>
      <c r="L29" s="5">
        <v>11577</v>
      </c>
      <c r="M29" s="5">
        <v>11933</v>
      </c>
      <c r="N29" s="5">
        <v>11828</v>
      </c>
      <c r="O29" s="5">
        <v>10588</v>
      </c>
      <c r="P29" s="5">
        <v>9978</v>
      </c>
      <c r="Q29" s="5">
        <v>6939</v>
      </c>
      <c r="R29" s="5">
        <v>4497</v>
      </c>
      <c r="S29" s="5">
        <v>2332</v>
      </c>
      <c r="T29" s="37">
        <v>1289</v>
      </c>
    </row>
    <row r="30" spans="1:20" x14ac:dyDescent="0.2">
      <c r="A30" s="9" t="s">
        <v>10</v>
      </c>
      <c r="B30" s="6" t="s">
        <v>0</v>
      </c>
      <c r="C30" s="5">
        <v>78577</v>
      </c>
      <c r="D30" s="5">
        <v>6861</v>
      </c>
      <c r="E30" s="5">
        <v>6223</v>
      </c>
      <c r="F30" s="5">
        <v>6086</v>
      </c>
      <c r="G30" s="5">
        <v>4939</v>
      </c>
      <c r="H30" s="5">
        <v>5158</v>
      </c>
      <c r="I30" s="5">
        <v>4890</v>
      </c>
      <c r="J30" s="5">
        <v>4664</v>
      </c>
      <c r="K30" s="5">
        <v>5327</v>
      </c>
      <c r="L30" s="5">
        <v>5650</v>
      </c>
      <c r="M30" s="5">
        <v>5760</v>
      </c>
      <c r="N30" s="5">
        <v>5818</v>
      </c>
      <c r="O30" s="5">
        <v>5191</v>
      </c>
      <c r="P30" s="5">
        <v>4918</v>
      </c>
      <c r="Q30" s="5">
        <v>3431</v>
      </c>
      <c r="R30" s="5">
        <v>2160</v>
      </c>
      <c r="S30" s="5">
        <v>1029</v>
      </c>
      <c r="T30" s="37">
        <v>472</v>
      </c>
    </row>
    <row r="31" spans="1:20" x14ac:dyDescent="0.2">
      <c r="A31" s="9" t="s">
        <v>10</v>
      </c>
      <c r="B31" s="6" t="s">
        <v>23</v>
      </c>
      <c r="C31" s="5">
        <v>78357</v>
      </c>
      <c r="D31" s="5">
        <v>6496</v>
      </c>
      <c r="E31" s="5">
        <v>5892</v>
      </c>
      <c r="F31" s="5">
        <v>5117</v>
      </c>
      <c r="G31" s="5">
        <v>4220</v>
      </c>
      <c r="H31" s="5">
        <v>4944</v>
      </c>
      <c r="I31" s="5">
        <v>4974</v>
      </c>
      <c r="J31" s="5">
        <v>4764</v>
      </c>
      <c r="K31" s="5">
        <v>5418</v>
      </c>
      <c r="L31" s="5">
        <v>5927</v>
      </c>
      <c r="M31" s="5">
        <v>6173</v>
      </c>
      <c r="N31" s="5">
        <v>6010</v>
      </c>
      <c r="O31" s="5">
        <v>5397</v>
      </c>
      <c r="P31" s="5">
        <v>5060</v>
      </c>
      <c r="Q31" s="5">
        <v>3508</v>
      </c>
      <c r="R31" s="5">
        <v>2337</v>
      </c>
      <c r="S31" s="5">
        <v>1303</v>
      </c>
      <c r="T31" s="37">
        <v>817</v>
      </c>
    </row>
    <row r="32" spans="1:20" x14ac:dyDescent="0.2">
      <c r="A32" s="9" t="s">
        <v>11</v>
      </c>
      <c r="B32" s="6" t="s">
        <v>22</v>
      </c>
      <c r="C32" s="5">
        <v>189263</v>
      </c>
      <c r="D32" s="5">
        <v>19552</v>
      </c>
      <c r="E32" s="5">
        <v>16364</v>
      </c>
      <c r="F32" s="5">
        <v>14328</v>
      </c>
      <c r="G32" s="5">
        <v>10992</v>
      </c>
      <c r="H32" s="5">
        <v>12385</v>
      </c>
      <c r="I32" s="5">
        <v>11074</v>
      </c>
      <c r="J32" s="5">
        <v>10115</v>
      </c>
      <c r="K32" s="5">
        <v>11413</v>
      </c>
      <c r="L32" s="5">
        <v>13210</v>
      </c>
      <c r="M32" s="5">
        <v>14148</v>
      </c>
      <c r="N32" s="5">
        <v>14308</v>
      </c>
      <c r="O32" s="5">
        <v>13115</v>
      </c>
      <c r="P32" s="5">
        <v>11558</v>
      </c>
      <c r="Q32" s="5">
        <v>7876</v>
      </c>
      <c r="R32" s="5">
        <v>4988</v>
      </c>
      <c r="S32" s="5">
        <v>2482</v>
      </c>
      <c r="T32" s="37">
        <v>1355</v>
      </c>
    </row>
    <row r="33" spans="1:20" x14ac:dyDescent="0.2">
      <c r="A33" s="9" t="s">
        <v>11</v>
      </c>
      <c r="B33" s="6" t="s">
        <v>0</v>
      </c>
      <c r="C33" s="5">
        <v>93801</v>
      </c>
      <c r="D33" s="5">
        <v>10043</v>
      </c>
      <c r="E33" s="5">
        <v>8367</v>
      </c>
      <c r="F33" s="5">
        <v>7459</v>
      </c>
      <c r="G33" s="5">
        <v>5484</v>
      </c>
      <c r="H33" s="5">
        <v>6030</v>
      </c>
      <c r="I33" s="5">
        <v>5464</v>
      </c>
      <c r="J33" s="5">
        <v>4956</v>
      </c>
      <c r="K33" s="5">
        <v>5515</v>
      </c>
      <c r="L33" s="5">
        <v>6340</v>
      </c>
      <c r="M33" s="5">
        <v>6833</v>
      </c>
      <c r="N33" s="5">
        <v>6918</v>
      </c>
      <c r="O33" s="5">
        <v>6555</v>
      </c>
      <c r="P33" s="5">
        <v>5816</v>
      </c>
      <c r="Q33" s="5">
        <v>3959</v>
      </c>
      <c r="R33" s="5">
        <v>2437</v>
      </c>
      <c r="S33" s="5">
        <v>1115</v>
      </c>
      <c r="T33" s="37">
        <v>510</v>
      </c>
    </row>
    <row r="34" spans="1:20" x14ac:dyDescent="0.2">
      <c r="A34" s="9" t="s">
        <v>11</v>
      </c>
      <c r="B34" s="6" t="s">
        <v>23</v>
      </c>
      <c r="C34" s="5">
        <v>95462</v>
      </c>
      <c r="D34" s="5">
        <v>9509</v>
      </c>
      <c r="E34" s="5">
        <v>7997</v>
      </c>
      <c r="F34" s="5">
        <v>6869</v>
      </c>
      <c r="G34" s="5">
        <v>5508</v>
      </c>
      <c r="H34" s="5">
        <v>6355</v>
      </c>
      <c r="I34" s="5">
        <v>5610</v>
      </c>
      <c r="J34" s="5">
        <v>5159</v>
      </c>
      <c r="K34" s="5">
        <v>5898</v>
      </c>
      <c r="L34" s="5">
        <v>6870</v>
      </c>
      <c r="M34" s="5">
        <v>7315</v>
      </c>
      <c r="N34" s="5">
        <v>7390</v>
      </c>
      <c r="O34" s="5">
        <v>6560</v>
      </c>
      <c r="P34" s="5">
        <v>5742</v>
      </c>
      <c r="Q34" s="5">
        <v>3917</v>
      </c>
      <c r="R34" s="5">
        <v>2551</v>
      </c>
      <c r="S34" s="5">
        <v>1367</v>
      </c>
      <c r="T34" s="37">
        <v>845</v>
      </c>
    </row>
    <row r="35" spans="1:20" x14ac:dyDescent="0.2">
      <c r="A35" s="9" t="s">
        <v>12</v>
      </c>
      <c r="B35" s="6" t="s">
        <v>22</v>
      </c>
      <c r="C35" s="5">
        <v>24346</v>
      </c>
      <c r="D35" s="5">
        <v>230</v>
      </c>
      <c r="E35" s="5">
        <v>1127</v>
      </c>
      <c r="F35" s="5">
        <v>2770</v>
      </c>
      <c r="G35" s="5">
        <v>3764</v>
      </c>
      <c r="H35" s="5">
        <v>3958</v>
      </c>
      <c r="I35" s="5">
        <v>2784</v>
      </c>
      <c r="J35" s="5">
        <v>2167</v>
      </c>
      <c r="K35" s="5">
        <v>1671</v>
      </c>
      <c r="L35" s="5">
        <v>1884</v>
      </c>
      <c r="M35" s="5">
        <v>1661</v>
      </c>
      <c r="N35" s="5">
        <v>1266</v>
      </c>
      <c r="O35" s="5">
        <v>453</v>
      </c>
      <c r="P35" s="5">
        <v>346</v>
      </c>
      <c r="Q35" s="5">
        <v>144</v>
      </c>
      <c r="R35" s="5">
        <v>76</v>
      </c>
      <c r="S35" s="5">
        <v>26</v>
      </c>
      <c r="T35" s="37">
        <v>19</v>
      </c>
    </row>
    <row r="36" spans="1:20" x14ac:dyDescent="0.2">
      <c r="A36" s="9" t="s">
        <v>12</v>
      </c>
      <c r="B36" s="6" t="s">
        <v>0</v>
      </c>
      <c r="C36" s="5">
        <v>17541</v>
      </c>
      <c r="D36" s="5">
        <v>96</v>
      </c>
      <c r="E36" s="5">
        <v>605</v>
      </c>
      <c r="F36" s="5">
        <v>1997</v>
      </c>
      <c r="G36" s="5">
        <v>2908</v>
      </c>
      <c r="H36" s="5">
        <v>2887</v>
      </c>
      <c r="I36" s="5">
        <v>2257</v>
      </c>
      <c r="J36" s="5">
        <v>1762</v>
      </c>
      <c r="K36" s="5">
        <v>1103</v>
      </c>
      <c r="L36" s="5">
        <v>1442</v>
      </c>
      <c r="M36" s="5">
        <v>1073</v>
      </c>
      <c r="N36" s="5">
        <v>855</v>
      </c>
      <c r="O36" s="5">
        <v>244</v>
      </c>
      <c r="P36" s="5">
        <v>189</v>
      </c>
      <c r="Q36" s="5">
        <v>85</v>
      </c>
      <c r="R36" s="5">
        <v>38</v>
      </c>
      <c r="T36" s="37"/>
    </row>
    <row r="37" spans="1:20" x14ac:dyDescent="0.2">
      <c r="A37" s="9" t="s">
        <v>12</v>
      </c>
      <c r="B37" s="6" t="s">
        <v>23</v>
      </c>
      <c r="C37" s="5">
        <v>6805</v>
      </c>
      <c r="D37" s="5">
        <v>134</v>
      </c>
      <c r="E37" s="5">
        <v>522</v>
      </c>
      <c r="F37" s="5">
        <v>773</v>
      </c>
      <c r="G37" s="5">
        <v>856</v>
      </c>
      <c r="H37" s="5">
        <v>1071</v>
      </c>
      <c r="I37" s="5">
        <v>527</v>
      </c>
      <c r="J37" s="5">
        <v>405</v>
      </c>
      <c r="K37" s="5">
        <v>568</v>
      </c>
      <c r="L37" s="5">
        <v>442</v>
      </c>
      <c r="M37" s="5">
        <v>588</v>
      </c>
      <c r="N37" s="5">
        <v>411</v>
      </c>
      <c r="O37" s="5">
        <v>209</v>
      </c>
      <c r="P37" s="5">
        <v>157</v>
      </c>
      <c r="Q37" s="5">
        <v>59</v>
      </c>
      <c r="R37" s="5">
        <v>38</v>
      </c>
      <c r="S37" s="5">
        <v>26</v>
      </c>
      <c r="T37" s="37">
        <v>19</v>
      </c>
    </row>
    <row r="38" spans="1:20" x14ac:dyDescent="0.2">
      <c r="A38" s="9" t="s">
        <v>13</v>
      </c>
      <c r="B38" s="6" t="s">
        <v>22</v>
      </c>
      <c r="C38" s="5">
        <v>59404</v>
      </c>
      <c r="D38" s="5">
        <v>5221</v>
      </c>
      <c r="E38" s="5">
        <v>4518</v>
      </c>
      <c r="F38" s="5">
        <v>4422</v>
      </c>
      <c r="G38" s="5">
        <v>3869</v>
      </c>
      <c r="H38" s="5">
        <v>3999</v>
      </c>
      <c r="I38" s="5">
        <v>3510</v>
      </c>
      <c r="J38" s="5">
        <v>3415</v>
      </c>
      <c r="K38" s="5">
        <v>3814</v>
      </c>
      <c r="L38" s="5">
        <v>4156</v>
      </c>
      <c r="M38" s="5">
        <v>4420</v>
      </c>
      <c r="N38" s="5">
        <v>4406</v>
      </c>
      <c r="O38" s="5">
        <v>3945</v>
      </c>
      <c r="P38" s="5">
        <v>3680</v>
      </c>
      <c r="Q38" s="5">
        <v>2575</v>
      </c>
      <c r="R38" s="5">
        <v>1900</v>
      </c>
      <c r="S38" s="5">
        <v>1012</v>
      </c>
      <c r="T38" s="37">
        <v>542</v>
      </c>
    </row>
    <row r="39" spans="1:20" x14ac:dyDescent="0.2">
      <c r="A39" s="9" t="s">
        <v>13</v>
      </c>
      <c r="B39" s="6" t="s">
        <v>0</v>
      </c>
      <c r="C39" s="5">
        <v>29846</v>
      </c>
      <c r="D39" s="5">
        <v>2693</v>
      </c>
      <c r="E39" s="5">
        <v>2345</v>
      </c>
      <c r="F39" s="5">
        <v>2386</v>
      </c>
      <c r="G39" s="5">
        <v>2062</v>
      </c>
      <c r="H39" s="5">
        <v>2041</v>
      </c>
      <c r="I39" s="5">
        <v>1825</v>
      </c>
      <c r="J39" s="5">
        <v>1699</v>
      </c>
      <c r="K39" s="5">
        <v>1906</v>
      </c>
      <c r="L39" s="5">
        <v>2037</v>
      </c>
      <c r="M39" s="5">
        <v>2133</v>
      </c>
      <c r="N39" s="5">
        <v>2165</v>
      </c>
      <c r="O39" s="5">
        <v>2019</v>
      </c>
      <c r="P39" s="5">
        <v>1828</v>
      </c>
      <c r="Q39" s="5">
        <v>1244</v>
      </c>
      <c r="R39" s="5">
        <v>848</v>
      </c>
      <c r="S39" s="5">
        <v>422</v>
      </c>
      <c r="T39" s="37">
        <v>193</v>
      </c>
    </row>
    <row r="40" spans="1:20" x14ac:dyDescent="0.2">
      <c r="A40" s="9" t="s">
        <v>13</v>
      </c>
      <c r="B40" s="6" t="s">
        <v>23</v>
      </c>
      <c r="C40" s="5">
        <v>29558</v>
      </c>
      <c r="D40" s="5">
        <v>2528</v>
      </c>
      <c r="E40" s="5">
        <v>2173</v>
      </c>
      <c r="F40" s="5">
        <v>2036</v>
      </c>
      <c r="G40" s="5">
        <v>1807</v>
      </c>
      <c r="H40" s="5">
        <v>1958</v>
      </c>
      <c r="I40" s="5">
        <v>1685</v>
      </c>
      <c r="J40" s="5">
        <v>1716</v>
      </c>
      <c r="K40" s="5">
        <v>1908</v>
      </c>
      <c r="L40" s="5">
        <v>2119</v>
      </c>
      <c r="M40" s="5">
        <v>2287</v>
      </c>
      <c r="N40" s="5">
        <v>2241</v>
      </c>
      <c r="O40" s="5">
        <v>1926</v>
      </c>
      <c r="P40" s="5">
        <v>1852</v>
      </c>
      <c r="Q40" s="5">
        <v>1331</v>
      </c>
      <c r="R40" s="5">
        <v>1052</v>
      </c>
      <c r="S40" s="5">
        <v>590</v>
      </c>
      <c r="T40" s="37">
        <v>349</v>
      </c>
    </row>
    <row r="41" spans="1:20" x14ac:dyDescent="0.2">
      <c r="A41" s="9" t="s">
        <v>14</v>
      </c>
      <c r="B41" s="6" t="s">
        <v>22</v>
      </c>
      <c r="C41" s="5">
        <v>331773</v>
      </c>
      <c r="D41" s="5">
        <v>28325</v>
      </c>
      <c r="E41" s="5">
        <v>24678</v>
      </c>
      <c r="F41" s="5">
        <v>35963</v>
      </c>
      <c r="G41" s="5">
        <v>25193</v>
      </c>
      <c r="H41" s="5">
        <v>26344</v>
      </c>
      <c r="I41" s="5">
        <v>23171</v>
      </c>
      <c r="J41" s="5">
        <v>20804</v>
      </c>
      <c r="K41" s="5">
        <v>21361</v>
      </c>
      <c r="L41" s="5">
        <v>21979</v>
      </c>
      <c r="M41" s="5">
        <v>22257</v>
      </c>
      <c r="N41" s="5">
        <v>21889</v>
      </c>
      <c r="O41" s="5">
        <v>18498</v>
      </c>
      <c r="P41" s="5">
        <v>15968</v>
      </c>
      <c r="Q41" s="5">
        <v>10930</v>
      </c>
      <c r="R41" s="5">
        <v>7750</v>
      </c>
      <c r="S41" s="5">
        <v>4190</v>
      </c>
      <c r="T41" s="37">
        <v>2473</v>
      </c>
    </row>
    <row r="42" spans="1:20" x14ac:dyDescent="0.2">
      <c r="A42" s="9" t="s">
        <v>14</v>
      </c>
      <c r="B42" s="6" t="s">
        <v>0</v>
      </c>
      <c r="C42" s="5">
        <v>165091</v>
      </c>
      <c r="D42" s="5">
        <v>14528</v>
      </c>
      <c r="E42" s="5">
        <v>12865</v>
      </c>
      <c r="F42" s="5">
        <v>17397</v>
      </c>
      <c r="G42" s="5">
        <v>13105</v>
      </c>
      <c r="H42" s="5">
        <v>13402</v>
      </c>
      <c r="I42" s="5">
        <v>11720</v>
      </c>
      <c r="J42" s="5">
        <v>10379</v>
      </c>
      <c r="K42" s="5">
        <v>10658</v>
      </c>
      <c r="L42" s="5">
        <v>10729</v>
      </c>
      <c r="M42" s="5">
        <v>10936</v>
      </c>
      <c r="N42" s="5">
        <v>10845</v>
      </c>
      <c r="O42" s="5">
        <v>9318</v>
      </c>
      <c r="P42" s="5">
        <v>7927</v>
      </c>
      <c r="Q42" s="5">
        <v>5254</v>
      </c>
      <c r="R42" s="5">
        <v>3517</v>
      </c>
      <c r="S42" s="5">
        <v>1723</v>
      </c>
      <c r="T42" s="37">
        <v>788</v>
      </c>
    </row>
    <row r="43" spans="1:20" x14ac:dyDescent="0.2">
      <c r="A43" s="9" t="s">
        <v>14</v>
      </c>
      <c r="B43" s="6" t="s">
        <v>23</v>
      </c>
      <c r="C43" s="5">
        <v>166682</v>
      </c>
      <c r="D43" s="5">
        <v>13797</v>
      </c>
      <c r="E43" s="5">
        <v>11813</v>
      </c>
      <c r="F43" s="5">
        <v>18566</v>
      </c>
      <c r="G43" s="5">
        <v>12088</v>
      </c>
      <c r="H43" s="5">
        <v>12942</v>
      </c>
      <c r="I43" s="5">
        <v>11451</v>
      </c>
      <c r="J43" s="5">
        <v>10425</v>
      </c>
      <c r="K43" s="5">
        <v>10703</v>
      </c>
      <c r="L43" s="5">
        <v>11250</v>
      </c>
      <c r="M43" s="5">
        <v>11321</v>
      </c>
      <c r="N43" s="5">
        <v>11044</v>
      </c>
      <c r="O43" s="5">
        <v>9180</v>
      </c>
      <c r="P43" s="5">
        <v>8041</v>
      </c>
      <c r="Q43" s="5">
        <v>5676</v>
      </c>
      <c r="R43" s="5">
        <v>4233</v>
      </c>
      <c r="S43" s="5">
        <v>2467</v>
      </c>
      <c r="T43" s="37">
        <v>1685</v>
      </c>
    </row>
    <row r="44" spans="1:20" x14ac:dyDescent="0.2">
      <c r="A44" s="9" t="s">
        <v>15</v>
      </c>
      <c r="B44" s="6" t="s">
        <v>22</v>
      </c>
      <c r="C44" s="5">
        <v>49345</v>
      </c>
      <c r="D44" s="5">
        <v>5536</v>
      </c>
      <c r="E44" s="5">
        <v>4896</v>
      </c>
      <c r="F44" s="5">
        <v>4535</v>
      </c>
      <c r="G44" s="5">
        <v>3577</v>
      </c>
      <c r="H44" s="5">
        <v>3634</v>
      </c>
      <c r="I44" s="5">
        <v>3086</v>
      </c>
      <c r="J44" s="5">
        <v>3015</v>
      </c>
      <c r="K44" s="5">
        <v>3119</v>
      </c>
      <c r="L44" s="5">
        <v>3219</v>
      </c>
      <c r="M44" s="5">
        <v>3179</v>
      </c>
      <c r="N44" s="5">
        <v>3225</v>
      </c>
      <c r="O44" s="5">
        <v>2808</v>
      </c>
      <c r="P44" s="5">
        <v>2264</v>
      </c>
      <c r="Q44" s="5">
        <v>1427</v>
      </c>
      <c r="R44" s="5">
        <v>1000</v>
      </c>
      <c r="S44" s="5">
        <v>496</v>
      </c>
      <c r="T44" s="37">
        <v>329</v>
      </c>
    </row>
    <row r="45" spans="1:20" x14ac:dyDescent="0.2">
      <c r="A45" s="9" t="s">
        <v>15</v>
      </c>
      <c r="B45" s="6" t="s">
        <v>0</v>
      </c>
      <c r="C45" s="5">
        <v>24449</v>
      </c>
      <c r="D45" s="5">
        <v>2803</v>
      </c>
      <c r="E45" s="5">
        <v>2534</v>
      </c>
      <c r="F45" s="5">
        <v>2412</v>
      </c>
      <c r="G45" s="5">
        <v>1834</v>
      </c>
      <c r="H45" s="5">
        <v>1821</v>
      </c>
      <c r="I45" s="5">
        <v>1463</v>
      </c>
      <c r="J45" s="5">
        <v>1447</v>
      </c>
      <c r="K45" s="5">
        <v>1568</v>
      </c>
      <c r="L45" s="5">
        <v>1532</v>
      </c>
      <c r="M45" s="5">
        <v>1532</v>
      </c>
      <c r="N45" s="5">
        <v>1529</v>
      </c>
      <c r="O45" s="5">
        <v>1451</v>
      </c>
      <c r="P45" s="5">
        <v>1107</v>
      </c>
      <c r="Q45" s="5">
        <v>676</v>
      </c>
      <c r="R45" s="5">
        <v>417</v>
      </c>
      <c r="S45" s="5">
        <v>211</v>
      </c>
      <c r="T45" s="37">
        <v>112</v>
      </c>
    </row>
    <row r="46" spans="1:20" x14ac:dyDescent="0.2">
      <c r="A46" s="9" t="s">
        <v>15</v>
      </c>
      <c r="B46" s="6" t="s">
        <v>23</v>
      </c>
      <c r="C46" s="5">
        <v>24896</v>
      </c>
      <c r="D46" s="5">
        <v>2733</v>
      </c>
      <c r="E46" s="5">
        <v>2362</v>
      </c>
      <c r="F46" s="5">
        <v>2123</v>
      </c>
      <c r="G46" s="5">
        <v>1743</v>
      </c>
      <c r="H46" s="5">
        <v>1813</v>
      </c>
      <c r="I46" s="5">
        <v>1623</v>
      </c>
      <c r="J46" s="5">
        <v>1568</v>
      </c>
      <c r="K46" s="5">
        <v>1551</v>
      </c>
      <c r="L46" s="5">
        <v>1687</v>
      </c>
      <c r="M46" s="5">
        <v>1647</v>
      </c>
      <c r="N46" s="5">
        <v>1696</v>
      </c>
      <c r="O46" s="5">
        <v>1357</v>
      </c>
      <c r="P46" s="5">
        <v>1157</v>
      </c>
      <c r="Q46" s="5">
        <v>751</v>
      </c>
      <c r="R46" s="5">
        <v>583</v>
      </c>
      <c r="S46" s="5">
        <v>285</v>
      </c>
      <c r="T46" s="37">
        <v>217</v>
      </c>
    </row>
    <row r="47" spans="1:20" x14ac:dyDescent="0.2">
      <c r="A47" s="9" t="s">
        <v>16</v>
      </c>
      <c r="B47" s="6" t="s">
        <v>22</v>
      </c>
      <c r="C47" s="5">
        <v>119605</v>
      </c>
      <c r="D47" s="5">
        <v>12619</v>
      </c>
      <c r="E47" s="5">
        <v>10529</v>
      </c>
      <c r="F47" s="5">
        <v>9408</v>
      </c>
      <c r="G47" s="5">
        <v>7333</v>
      </c>
      <c r="H47" s="5">
        <v>8344</v>
      </c>
      <c r="I47" s="5">
        <v>7931</v>
      </c>
      <c r="J47" s="5">
        <v>7564</v>
      </c>
      <c r="K47" s="5">
        <v>7966</v>
      </c>
      <c r="L47" s="5">
        <v>8219</v>
      </c>
      <c r="M47" s="5">
        <v>8165</v>
      </c>
      <c r="N47" s="5">
        <v>8261</v>
      </c>
      <c r="O47" s="5">
        <v>7191</v>
      </c>
      <c r="P47" s="5">
        <v>6122</v>
      </c>
      <c r="Q47" s="5">
        <v>4322</v>
      </c>
      <c r="R47" s="5">
        <v>2874</v>
      </c>
      <c r="S47" s="5">
        <v>1721</v>
      </c>
      <c r="T47" s="37">
        <v>1036</v>
      </c>
    </row>
    <row r="48" spans="1:20" x14ac:dyDescent="0.2">
      <c r="A48" s="9" t="s">
        <v>16</v>
      </c>
      <c r="B48" s="6" t="s">
        <v>0</v>
      </c>
      <c r="C48" s="5">
        <v>59059</v>
      </c>
      <c r="D48" s="5">
        <v>6465</v>
      </c>
      <c r="E48" s="5">
        <v>5437</v>
      </c>
      <c r="F48" s="5">
        <v>5012</v>
      </c>
      <c r="G48" s="5">
        <v>3672</v>
      </c>
      <c r="H48" s="5">
        <v>4011</v>
      </c>
      <c r="I48" s="5">
        <v>3857</v>
      </c>
      <c r="J48" s="5">
        <v>3732</v>
      </c>
      <c r="K48" s="5">
        <v>3870</v>
      </c>
      <c r="L48" s="5">
        <v>4000</v>
      </c>
      <c r="M48" s="5">
        <v>3975</v>
      </c>
      <c r="N48" s="5">
        <v>4004</v>
      </c>
      <c r="O48" s="5">
        <v>3565</v>
      </c>
      <c r="P48" s="5">
        <v>3012</v>
      </c>
      <c r="Q48" s="5">
        <v>2078</v>
      </c>
      <c r="R48" s="5">
        <v>1296</v>
      </c>
      <c r="S48" s="5">
        <v>697</v>
      </c>
      <c r="T48" s="37">
        <v>376</v>
      </c>
    </row>
    <row r="49" spans="1:20" x14ac:dyDescent="0.2">
      <c r="A49" s="9" t="s">
        <v>16</v>
      </c>
      <c r="B49" s="6" t="s">
        <v>23</v>
      </c>
      <c r="C49" s="5">
        <v>60546</v>
      </c>
      <c r="D49" s="5">
        <v>6154</v>
      </c>
      <c r="E49" s="5">
        <v>5092</v>
      </c>
      <c r="F49" s="5">
        <v>4396</v>
      </c>
      <c r="G49" s="5">
        <v>3661</v>
      </c>
      <c r="H49" s="5">
        <v>4333</v>
      </c>
      <c r="I49" s="5">
        <v>4074</v>
      </c>
      <c r="J49" s="5">
        <v>3832</v>
      </c>
      <c r="K49" s="5">
        <v>4096</v>
      </c>
      <c r="L49" s="5">
        <v>4219</v>
      </c>
      <c r="M49" s="5">
        <v>4190</v>
      </c>
      <c r="N49" s="5">
        <v>4257</v>
      </c>
      <c r="O49" s="5">
        <v>3626</v>
      </c>
      <c r="P49" s="5">
        <v>3110</v>
      </c>
      <c r="Q49" s="5">
        <v>2244</v>
      </c>
      <c r="R49" s="5">
        <v>1578</v>
      </c>
      <c r="S49" s="5">
        <v>1024</v>
      </c>
      <c r="T49" s="37">
        <v>660</v>
      </c>
    </row>
    <row r="50" spans="1:20" x14ac:dyDescent="0.2">
      <c r="A50" s="11" t="s">
        <v>17</v>
      </c>
      <c r="B50" s="6" t="s">
        <v>22</v>
      </c>
      <c r="C50" s="5">
        <v>419910</v>
      </c>
      <c r="D50" s="5">
        <v>43685</v>
      </c>
      <c r="E50" s="5">
        <v>36654</v>
      </c>
      <c r="F50" s="5">
        <v>39206</v>
      </c>
      <c r="G50" s="5">
        <v>31673</v>
      </c>
      <c r="H50" s="5">
        <v>32483</v>
      </c>
      <c r="I50" s="5">
        <v>28855</v>
      </c>
      <c r="J50" s="5">
        <v>26312</v>
      </c>
      <c r="K50" s="5">
        <v>26517</v>
      </c>
      <c r="L50" s="5">
        <v>27779</v>
      </c>
      <c r="M50" s="5">
        <v>26459</v>
      </c>
      <c r="N50" s="5">
        <v>25983</v>
      </c>
      <c r="O50" s="5">
        <v>22794</v>
      </c>
      <c r="P50" s="5">
        <v>19873</v>
      </c>
      <c r="Q50" s="5">
        <v>14192</v>
      </c>
      <c r="R50" s="5">
        <v>9542</v>
      </c>
      <c r="S50" s="5">
        <v>5023</v>
      </c>
      <c r="T50" s="37">
        <v>2880</v>
      </c>
    </row>
    <row r="51" spans="1:20" x14ac:dyDescent="0.2">
      <c r="A51" s="11" t="s">
        <v>17</v>
      </c>
      <c r="B51" s="6" t="s">
        <v>0</v>
      </c>
      <c r="C51" s="5">
        <v>207988</v>
      </c>
      <c r="D51" s="5">
        <v>22518</v>
      </c>
      <c r="E51" s="5">
        <v>18619</v>
      </c>
      <c r="F51" s="5">
        <v>20051</v>
      </c>
      <c r="G51" s="5">
        <v>16349</v>
      </c>
      <c r="H51" s="5">
        <v>15989</v>
      </c>
      <c r="I51" s="5">
        <v>14244</v>
      </c>
      <c r="J51" s="5">
        <v>13073</v>
      </c>
      <c r="K51" s="5">
        <v>13072</v>
      </c>
      <c r="L51" s="5">
        <v>13531</v>
      </c>
      <c r="M51" s="5">
        <v>12867</v>
      </c>
      <c r="N51" s="5">
        <v>12564</v>
      </c>
      <c r="O51" s="5">
        <v>11024</v>
      </c>
      <c r="P51" s="5">
        <v>9769</v>
      </c>
      <c r="Q51" s="5">
        <v>6739</v>
      </c>
      <c r="R51" s="5">
        <v>4398</v>
      </c>
      <c r="S51" s="5">
        <v>2157</v>
      </c>
      <c r="T51" s="37">
        <v>1024</v>
      </c>
    </row>
    <row r="52" spans="1:20" x14ac:dyDescent="0.2">
      <c r="A52" s="11" t="s">
        <v>17</v>
      </c>
      <c r="B52" s="6" t="s">
        <v>23</v>
      </c>
      <c r="C52" s="5">
        <v>211922</v>
      </c>
      <c r="D52" s="5">
        <v>21167</v>
      </c>
      <c r="E52" s="5">
        <v>18035</v>
      </c>
      <c r="F52" s="5">
        <v>19155</v>
      </c>
      <c r="G52" s="5">
        <v>15324</v>
      </c>
      <c r="H52" s="5">
        <v>16494</v>
      </c>
      <c r="I52" s="5">
        <v>14611</v>
      </c>
      <c r="J52" s="5">
        <v>13239</v>
      </c>
      <c r="K52" s="5">
        <v>13445</v>
      </c>
      <c r="L52" s="5">
        <v>14248</v>
      </c>
      <c r="M52" s="5">
        <v>13592</v>
      </c>
      <c r="N52" s="5">
        <v>13419</v>
      </c>
      <c r="O52" s="5">
        <v>11770</v>
      </c>
      <c r="P52" s="5">
        <v>10104</v>
      </c>
      <c r="Q52" s="5">
        <v>7453</v>
      </c>
      <c r="R52" s="5">
        <v>5144</v>
      </c>
      <c r="S52" s="5">
        <v>2866</v>
      </c>
      <c r="T52" s="37">
        <v>1856</v>
      </c>
    </row>
    <row r="53" spans="1:20" x14ac:dyDescent="0.2">
      <c r="A53" s="9" t="s">
        <v>18</v>
      </c>
      <c r="B53" s="6" t="s">
        <v>22</v>
      </c>
      <c r="C53" s="5">
        <v>47314</v>
      </c>
      <c r="D53" s="5">
        <v>4214</v>
      </c>
      <c r="E53" s="5">
        <v>3852</v>
      </c>
      <c r="F53" s="5">
        <v>3424</v>
      </c>
      <c r="G53" s="5">
        <v>2667</v>
      </c>
      <c r="H53" s="5">
        <v>2935</v>
      </c>
      <c r="I53" s="5">
        <v>2662</v>
      </c>
      <c r="J53" s="5">
        <v>2728</v>
      </c>
      <c r="K53" s="5">
        <v>3044</v>
      </c>
      <c r="L53" s="5">
        <v>3416</v>
      </c>
      <c r="M53" s="5">
        <v>3524</v>
      </c>
      <c r="N53" s="5">
        <v>3712</v>
      </c>
      <c r="O53" s="5">
        <v>3346</v>
      </c>
      <c r="P53" s="5">
        <v>3078</v>
      </c>
      <c r="Q53" s="5">
        <v>2154</v>
      </c>
      <c r="R53" s="5">
        <v>1410</v>
      </c>
      <c r="S53" s="5">
        <v>723</v>
      </c>
      <c r="T53" s="37">
        <v>425</v>
      </c>
    </row>
    <row r="54" spans="1:20" x14ac:dyDescent="0.2">
      <c r="A54" s="9" t="s">
        <v>18</v>
      </c>
      <c r="B54" s="6" t="s">
        <v>0</v>
      </c>
      <c r="C54" s="5">
        <v>23241</v>
      </c>
      <c r="D54" s="5">
        <v>2167</v>
      </c>
      <c r="E54" s="5">
        <v>1993</v>
      </c>
      <c r="F54" s="5">
        <v>1785</v>
      </c>
      <c r="G54" s="5">
        <v>1351</v>
      </c>
      <c r="H54" s="5">
        <v>1451</v>
      </c>
      <c r="I54" s="5">
        <v>1331</v>
      </c>
      <c r="J54" s="5">
        <v>1302</v>
      </c>
      <c r="K54" s="5">
        <v>1436</v>
      </c>
      <c r="L54" s="5">
        <v>1632</v>
      </c>
      <c r="M54" s="5">
        <v>1697</v>
      </c>
      <c r="N54" s="5">
        <v>1794</v>
      </c>
      <c r="O54" s="5">
        <v>1622</v>
      </c>
      <c r="P54" s="5">
        <v>1529</v>
      </c>
      <c r="Q54" s="5">
        <v>1072</v>
      </c>
      <c r="R54" s="5">
        <v>631</v>
      </c>
      <c r="S54" s="5">
        <v>319</v>
      </c>
      <c r="T54" s="37">
        <v>129</v>
      </c>
    </row>
    <row r="55" spans="1:20" x14ac:dyDescent="0.2">
      <c r="A55" s="9" t="s">
        <v>18</v>
      </c>
      <c r="B55" s="6" t="s">
        <v>23</v>
      </c>
      <c r="C55" s="5">
        <v>24073</v>
      </c>
      <c r="D55" s="5">
        <v>2047</v>
      </c>
      <c r="E55" s="5">
        <v>1859</v>
      </c>
      <c r="F55" s="5">
        <v>1639</v>
      </c>
      <c r="G55" s="5">
        <v>1316</v>
      </c>
      <c r="H55" s="5">
        <v>1484</v>
      </c>
      <c r="I55" s="5">
        <v>1331</v>
      </c>
      <c r="J55" s="5">
        <v>1426</v>
      </c>
      <c r="K55" s="5">
        <v>1608</v>
      </c>
      <c r="L55" s="5">
        <v>1784</v>
      </c>
      <c r="M55" s="5">
        <v>1827</v>
      </c>
      <c r="N55" s="5">
        <v>1918</v>
      </c>
      <c r="O55" s="5">
        <v>1724</v>
      </c>
      <c r="P55" s="5">
        <v>1549</v>
      </c>
      <c r="Q55" s="5">
        <v>1082</v>
      </c>
      <c r="R55" s="5">
        <v>779</v>
      </c>
      <c r="S55" s="5">
        <v>404</v>
      </c>
      <c r="T55" s="37">
        <v>296</v>
      </c>
    </row>
    <row r="56" spans="1:20" x14ac:dyDescent="0.2">
      <c r="A56" s="9" t="s">
        <v>19</v>
      </c>
      <c r="B56" s="6" t="s">
        <v>22</v>
      </c>
      <c r="C56" s="5">
        <v>615971</v>
      </c>
      <c r="D56" s="5">
        <v>61277</v>
      </c>
      <c r="E56" s="5">
        <v>49616</v>
      </c>
      <c r="F56" s="5">
        <v>53837</v>
      </c>
      <c r="G56" s="5">
        <v>45073</v>
      </c>
      <c r="H56" s="5">
        <v>51958</v>
      </c>
      <c r="I56" s="5">
        <v>51346</v>
      </c>
      <c r="J56" s="5">
        <v>46010</v>
      </c>
      <c r="K56" s="5">
        <v>43325</v>
      </c>
      <c r="L56" s="5">
        <v>43639</v>
      </c>
      <c r="M56" s="5">
        <v>39845</v>
      </c>
      <c r="N56" s="5">
        <v>35460</v>
      </c>
      <c r="O56" s="5">
        <v>29624</v>
      </c>
      <c r="P56" s="5">
        <v>24267</v>
      </c>
      <c r="Q56" s="5">
        <v>17887</v>
      </c>
      <c r="R56" s="5">
        <v>12207</v>
      </c>
      <c r="S56" s="5">
        <v>6626</v>
      </c>
      <c r="T56" s="37">
        <v>3974</v>
      </c>
    </row>
    <row r="57" spans="1:20" x14ac:dyDescent="0.2">
      <c r="A57" s="10" t="s">
        <v>19</v>
      </c>
      <c r="B57" s="6" t="s">
        <v>0</v>
      </c>
      <c r="C57" s="5">
        <v>303297</v>
      </c>
      <c r="D57" s="5">
        <v>31551</v>
      </c>
      <c r="E57" s="5">
        <v>25583</v>
      </c>
      <c r="F57" s="5">
        <v>27655</v>
      </c>
      <c r="G57" s="5">
        <v>22414</v>
      </c>
      <c r="H57" s="5">
        <v>25278</v>
      </c>
      <c r="I57" s="5">
        <v>24959</v>
      </c>
      <c r="J57" s="5">
        <v>22588</v>
      </c>
      <c r="K57" s="5">
        <v>21305</v>
      </c>
      <c r="L57" s="5">
        <v>21455</v>
      </c>
      <c r="M57" s="5">
        <v>19667</v>
      </c>
      <c r="N57" s="5">
        <v>17075</v>
      </c>
      <c r="O57" s="5">
        <v>14042</v>
      </c>
      <c r="P57" s="5">
        <v>11683</v>
      </c>
      <c r="Q57" s="5">
        <v>8445</v>
      </c>
      <c r="R57" s="5">
        <v>5441</v>
      </c>
      <c r="S57" s="5">
        <v>2814</v>
      </c>
      <c r="T57" s="37">
        <v>1342</v>
      </c>
    </row>
    <row r="58" spans="1:20" x14ac:dyDescent="0.2">
      <c r="A58" s="10" t="s">
        <v>19</v>
      </c>
      <c r="B58" s="6" t="s">
        <v>23</v>
      </c>
      <c r="C58" s="5">
        <v>312674</v>
      </c>
      <c r="D58" s="5">
        <v>29726</v>
      </c>
      <c r="E58" s="5">
        <v>24033</v>
      </c>
      <c r="F58" s="5">
        <v>26182</v>
      </c>
      <c r="G58" s="5">
        <v>22659</v>
      </c>
      <c r="H58" s="5">
        <v>26680</v>
      </c>
      <c r="I58" s="5">
        <v>26387</v>
      </c>
      <c r="J58" s="5">
        <v>23422</v>
      </c>
      <c r="K58" s="5">
        <v>22020</v>
      </c>
      <c r="L58" s="5">
        <v>22184</v>
      </c>
      <c r="M58" s="5">
        <v>20178</v>
      </c>
      <c r="N58" s="5">
        <v>18385</v>
      </c>
      <c r="O58" s="5">
        <v>15582</v>
      </c>
      <c r="P58" s="5">
        <v>12584</v>
      </c>
      <c r="Q58" s="5">
        <v>9442</v>
      </c>
      <c r="R58" s="5">
        <v>6766</v>
      </c>
      <c r="S58" s="5">
        <v>3812</v>
      </c>
      <c r="T58" s="37">
        <v>2632</v>
      </c>
    </row>
    <row r="59" spans="1:20" x14ac:dyDescent="0.2">
      <c r="A59" s="9" t="s">
        <v>20</v>
      </c>
      <c r="B59" s="6" t="s">
        <v>22</v>
      </c>
      <c r="C59" s="5">
        <v>31332</v>
      </c>
      <c r="D59" s="5">
        <v>2585</v>
      </c>
      <c r="E59" s="5">
        <v>2360</v>
      </c>
      <c r="F59" s="5">
        <v>1913</v>
      </c>
      <c r="G59" s="5">
        <v>1721</v>
      </c>
      <c r="H59" s="5">
        <v>1975</v>
      </c>
      <c r="I59" s="5">
        <v>1770</v>
      </c>
      <c r="J59" s="5">
        <v>1765</v>
      </c>
      <c r="K59" s="5">
        <v>2052</v>
      </c>
      <c r="L59" s="5">
        <v>2425</v>
      </c>
      <c r="M59" s="5">
        <v>2810</v>
      </c>
      <c r="N59" s="5">
        <v>2859</v>
      </c>
      <c r="O59" s="5">
        <v>2457</v>
      </c>
      <c r="P59" s="5">
        <v>1950</v>
      </c>
      <c r="Q59" s="5">
        <v>1304</v>
      </c>
      <c r="R59" s="5">
        <v>803</v>
      </c>
      <c r="S59" s="5">
        <v>372</v>
      </c>
      <c r="T59" s="37">
        <v>211</v>
      </c>
    </row>
    <row r="60" spans="1:20" x14ac:dyDescent="0.2">
      <c r="A60" s="9" t="s">
        <v>20</v>
      </c>
      <c r="B60" s="6" t="s">
        <v>0</v>
      </c>
      <c r="C60" s="5">
        <v>16103</v>
      </c>
      <c r="D60" s="5">
        <v>1341</v>
      </c>
      <c r="E60" s="5">
        <v>1278</v>
      </c>
      <c r="F60" s="5">
        <v>1036</v>
      </c>
      <c r="G60" s="5">
        <v>863</v>
      </c>
      <c r="H60" s="5">
        <v>973</v>
      </c>
      <c r="I60" s="5">
        <v>912</v>
      </c>
      <c r="J60" s="5">
        <v>869</v>
      </c>
      <c r="K60" s="5">
        <v>977</v>
      </c>
      <c r="L60" s="5">
        <v>1194</v>
      </c>
      <c r="M60" s="5">
        <v>1429</v>
      </c>
      <c r="N60" s="5">
        <v>1497</v>
      </c>
      <c r="O60" s="5">
        <v>1356</v>
      </c>
      <c r="P60" s="5">
        <v>1074</v>
      </c>
      <c r="Q60" s="5">
        <v>653</v>
      </c>
      <c r="R60" s="5">
        <v>391</v>
      </c>
      <c r="S60" s="5">
        <v>177</v>
      </c>
      <c r="T60" s="37">
        <v>83</v>
      </c>
    </row>
    <row r="61" spans="1:20" x14ac:dyDescent="0.2">
      <c r="A61" s="9" t="s">
        <v>20</v>
      </c>
      <c r="B61" s="6" t="s">
        <v>23</v>
      </c>
      <c r="C61" s="5">
        <v>15229</v>
      </c>
      <c r="D61" s="5">
        <v>1244</v>
      </c>
      <c r="E61" s="5">
        <v>1082</v>
      </c>
      <c r="F61" s="5">
        <v>877</v>
      </c>
      <c r="G61" s="5">
        <v>858</v>
      </c>
      <c r="H61" s="5">
        <v>1002</v>
      </c>
      <c r="I61" s="5">
        <v>858</v>
      </c>
      <c r="J61" s="5">
        <v>896</v>
      </c>
      <c r="K61" s="5">
        <v>1075</v>
      </c>
      <c r="L61" s="5">
        <v>1231</v>
      </c>
      <c r="M61" s="5">
        <v>1381</v>
      </c>
      <c r="N61" s="5">
        <v>1362</v>
      </c>
      <c r="O61" s="5">
        <v>1101</v>
      </c>
      <c r="P61" s="5">
        <v>876</v>
      </c>
      <c r="Q61" s="5">
        <v>651</v>
      </c>
      <c r="R61" s="5">
        <v>412</v>
      </c>
      <c r="S61" s="5">
        <v>195</v>
      </c>
      <c r="T61" s="37">
        <v>128</v>
      </c>
    </row>
    <row r="62" spans="1:20" x14ac:dyDescent="0.2">
      <c r="A62" s="13" t="s">
        <v>21</v>
      </c>
      <c r="B62" s="6" t="s">
        <v>22</v>
      </c>
      <c r="C62" s="5">
        <v>65642</v>
      </c>
      <c r="D62" s="5">
        <v>6568</v>
      </c>
      <c r="E62" s="5">
        <v>5523</v>
      </c>
      <c r="F62" s="5">
        <v>5493</v>
      </c>
      <c r="G62" s="5">
        <v>4239</v>
      </c>
      <c r="H62" s="5">
        <v>4403</v>
      </c>
      <c r="I62" s="5">
        <v>3844</v>
      </c>
      <c r="J62" s="5">
        <v>3508</v>
      </c>
      <c r="K62" s="5">
        <v>3980</v>
      </c>
      <c r="L62" s="5">
        <v>4449</v>
      </c>
      <c r="M62" s="5">
        <v>4749</v>
      </c>
      <c r="N62" s="5">
        <v>4819</v>
      </c>
      <c r="O62" s="5">
        <v>4297</v>
      </c>
      <c r="P62" s="5">
        <v>3767</v>
      </c>
      <c r="Q62" s="5">
        <v>2639</v>
      </c>
      <c r="R62" s="5">
        <v>1853</v>
      </c>
      <c r="S62" s="5">
        <v>960</v>
      </c>
      <c r="T62" s="37">
        <v>551</v>
      </c>
    </row>
    <row r="63" spans="1:20" x14ac:dyDescent="0.2">
      <c r="A63" s="10" t="s">
        <v>21</v>
      </c>
      <c r="B63" s="6" t="s">
        <v>0</v>
      </c>
      <c r="C63" s="5">
        <v>32276</v>
      </c>
      <c r="D63" s="5">
        <v>3366</v>
      </c>
      <c r="E63" s="5">
        <v>2817</v>
      </c>
      <c r="F63" s="5">
        <v>2889</v>
      </c>
      <c r="G63" s="5">
        <v>2148</v>
      </c>
      <c r="H63" s="5">
        <v>2180</v>
      </c>
      <c r="I63" s="5">
        <v>1863</v>
      </c>
      <c r="J63" s="5">
        <v>1746</v>
      </c>
      <c r="K63" s="5">
        <v>1896</v>
      </c>
      <c r="L63" s="5">
        <v>2130</v>
      </c>
      <c r="M63" s="5">
        <v>2302</v>
      </c>
      <c r="N63" s="5">
        <v>2317</v>
      </c>
      <c r="O63" s="5">
        <v>2110</v>
      </c>
      <c r="P63" s="5">
        <v>1852</v>
      </c>
      <c r="Q63" s="5">
        <v>1269</v>
      </c>
      <c r="R63" s="5">
        <v>805</v>
      </c>
      <c r="S63" s="5">
        <v>390</v>
      </c>
      <c r="T63" s="37">
        <v>196</v>
      </c>
    </row>
    <row r="64" spans="1:20" x14ac:dyDescent="0.2">
      <c r="A64" s="10" t="s">
        <v>21</v>
      </c>
      <c r="B64" s="6" t="s">
        <v>23</v>
      </c>
      <c r="C64" s="5">
        <v>33366</v>
      </c>
      <c r="D64" s="5">
        <v>3202</v>
      </c>
      <c r="E64" s="5">
        <v>2706</v>
      </c>
      <c r="F64" s="5">
        <v>2604</v>
      </c>
      <c r="G64" s="5">
        <v>2091</v>
      </c>
      <c r="H64" s="5">
        <v>2223</v>
      </c>
      <c r="I64" s="5">
        <v>1981</v>
      </c>
      <c r="J64" s="5">
        <v>1762</v>
      </c>
      <c r="K64" s="5">
        <v>2084</v>
      </c>
      <c r="L64" s="5">
        <v>2319</v>
      </c>
      <c r="M64" s="5">
        <v>2447</v>
      </c>
      <c r="N64" s="5">
        <v>2502</v>
      </c>
      <c r="O64" s="5">
        <v>2187</v>
      </c>
      <c r="P64" s="5">
        <v>1915</v>
      </c>
      <c r="Q64" s="5">
        <v>1370</v>
      </c>
      <c r="R64" s="5">
        <v>1048</v>
      </c>
      <c r="S64" s="5">
        <v>570</v>
      </c>
      <c r="T64" s="37">
        <v>355</v>
      </c>
    </row>
    <row r="65" spans="1:20" x14ac:dyDescent="0.2">
      <c r="A65" s="13" t="s">
        <v>22</v>
      </c>
      <c r="B65" s="6" t="s">
        <v>22</v>
      </c>
      <c r="C65" s="5">
        <v>4914174</v>
      </c>
      <c r="D65" s="5">
        <v>469747</v>
      </c>
      <c r="E65" s="5">
        <v>401218</v>
      </c>
      <c r="F65" s="5">
        <v>459020</v>
      </c>
      <c r="G65" s="5">
        <v>381228</v>
      </c>
      <c r="H65" s="5">
        <v>403553</v>
      </c>
      <c r="I65" s="5">
        <v>358089</v>
      </c>
      <c r="J65" s="5">
        <v>323623</v>
      </c>
      <c r="K65" s="5">
        <v>324765</v>
      </c>
      <c r="L65" s="5">
        <v>336304</v>
      </c>
      <c r="M65" s="5">
        <v>324177</v>
      </c>
      <c r="N65" s="5">
        <v>303228</v>
      </c>
      <c r="O65" s="5">
        <v>257551</v>
      </c>
      <c r="P65" s="5">
        <v>220529</v>
      </c>
      <c r="Q65" s="5">
        <v>155129</v>
      </c>
      <c r="R65" s="5">
        <v>106261</v>
      </c>
      <c r="S65" s="5">
        <v>56470</v>
      </c>
      <c r="T65" s="37">
        <v>33282</v>
      </c>
    </row>
    <row r="66" spans="1:20" x14ac:dyDescent="0.2">
      <c r="A66" s="10" t="s">
        <v>22</v>
      </c>
      <c r="B66" s="6" t="s">
        <v>0</v>
      </c>
      <c r="C66" s="5">
        <v>2437940</v>
      </c>
      <c r="D66" s="5">
        <v>241204</v>
      </c>
      <c r="E66" s="5">
        <v>206176</v>
      </c>
      <c r="F66" s="5">
        <v>234877</v>
      </c>
      <c r="G66" s="5">
        <v>194906</v>
      </c>
      <c r="H66" s="5">
        <v>200810</v>
      </c>
      <c r="I66" s="5">
        <v>178034</v>
      </c>
      <c r="J66" s="5">
        <v>160837</v>
      </c>
      <c r="K66" s="5">
        <v>159845</v>
      </c>
      <c r="L66" s="5">
        <v>164561</v>
      </c>
      <c r="M66" s="5">
        <v>158948</v>
      </c>
      <c r="N66" s="5">
        <v>148014</v>
      </c>
      <c r="O66" s="5">
        <v>125268</v>
      </c>
      <c r="P66" s="5">
        <v>107436</v>
      </c>
      <c r="Q66" s="5">
        <v>73861</v>
      </c>
      <c r="R66" s="5">
        <v>47979</v>
      </c>
      <c r="S66" s="5">
        <v>23655</v>
      </c>
      <c r="T66" s="37">
        <v>11529</v>
      </c>
    </row>
    <row r="67" spans="1:20" x14ac:dyDescent="0.2">
      <c r="A67" s="10" t="s">
        <v>22</v>
      </c>
      <c r="B67" s="6" t="s">
        <v>23</v>
      </c>
      <c r="C67" s="5">
        <v>2476234</v>
      </c>
      <c r="D67" s="5">
        <v>228543</v>
      </c>
      <c r="E67" s="5">
        <v>195042</v>
      </c>
      <c r="F67" s="5">
        <v>224143</v>
      </c>
      <c r="G67" s="5">
        <v>186322</v>
      </c>
      <c r="H67" s="5">
        <v>202743</v>
      </c>
      <c r="I67" s="5">
        <v>180055</v>
      </c>
      <c r="J67" s="5">
        <v>162786</v>
      </c>
      <c r="K67" s="5">
        <v>164920</v>
      </c>
      <c r="L67" s="5">
        <v>171743</v>
      </c>
      <c r="M67" s="5">
        <v>165229</v>
      </c>
      <c r="N67" s="5">
        <v>155214</v>
      </c>
      <c r="O67" s="5">
        <v>132283</v>
      </c>
      <c r="P67" s="5">
        <v>113093</v>
      </c>
      <c r="Q67" s="5">
        <v>81268</v>
      </c>
      <c r="R67" s="5">
        <v>58282</v>
      </c>
      <c r="S67" s="5">
        <v>32815</v>
      </c>
      <c r="T67" s="37">
        <v>21753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DE61-9B2C-2B46-94F1-FC31CEB25356}">
  <dimension ref="A1:U67"/>
  <sheetViews>
    <sheetView zoomScale="112" zoomScaleNormal="150" workbookViewId="0">
      <selection activeCell="E8" sqref="E8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SUM(Table341011121318[[#This Row],[  5-11]:[  90+]])</f>
        <v>33841</v>
      </c>
      <c r="D2" s="5">
        <v>4149</v>
      </c>
      <c r="E2" s="5">
        <v>3663</v>
      </c>
      <c r="F2" s="5">
        <v>4801</v>
      </c>
      <c r="G2" s="5">
        <v>3640</v>
      </c>
      <c r="H2" s="5">
        <v>3081</v>
      </c>
      <c r="I2" s="5">
        <v>2301</v>
      </c>
      <c r="J2" s="5">
        <v>2102</v>
      </c>
      <c r="K2" s="5">
        <v>2195</v>
      </c>
      <c r="L2" s="5">
        <v>2115</v>
      </c>
      <c r="M2" s="5">
        <v>1982</v>
      </c>
      <c r="N2" s="5">
        <v>1542</v>
      </c>
      <c r="O2" s="5">
        <v>1007</v>
      </c>
      <c r="P2" s="5">
        <v>635</v>
      </c>
      <c r="Q2" s="5">
        <v>324</v>
      </c>
      <c r="R2" s="5">
        <v>192</v>
      </c>
      <c r="S2" s="5">
        <v>81</v>
      </c>
      <c r="T2" s="5">
        <v>31</v>
      </c>
    </row>
    <row r="3" spans="1:20" x14ac:dyDescent="0.2">
      <c r="A3" s="9" t="s">
        <v>1</v>
      </c>
      <c r="B3" s="6" t="s">
        <v>0</v>
      </c>
      <c r="C3" s="5">
        <f>SUM(Table341011121318[[#This Row],[  5-11]:[  90+]])</f>
        <v>16671</v>
      </c>
      <c r="D3" s="5">
        <v>2185</v>
      </c>
      <c r="E3" s="5">
        <v>1862</v>
      </c>
      <c r="F3" s="5">
        <v>2330</v>
      </c>
      <c r="G3" s="5">
        <v>1843</v>
      </c>
      <c r="H3" s="5">
        <v>1493</v>
      </c>
      <c r="I3" s="5">
        <v>1121</v>
      </c>
      <c r="J3" s="5">
        <v>1068</v>
      </c>
      <c r="K3" s="5">
        <v>1091</v>
      </c>
      <c r="L3" s="5">
        <v>986</v>
      </c>
      <c r="M3" s="5">
        <v>982</v>
      </c>
      <c r="N3" s="5">
        <v>726</v>
      </c>
      <c r="O3" s="5">
        <v>433</v>
      </c>
      <c r="P3" s="5">
        <v>292</v>
      </c>
      <c r="Q3" s="5">
        <v>157</v>
      </c>
      <c r="R3" s="5">
        <v>74</v>
      </c>
      <c r="S3" s="5">
        <v>28</v>
      </c>
    </row>
    <row r="4" spans="1:20" x14ac:dyDescent="0.2">
      <c r="A4" s="9" t="s">
        <v>1</v>
      </c>
      <c r="B4" s="6" t="s">
        <v>23</v>
      </c>
      <c r="C4" s="5">
        <f>SUM(Table341011121318[[#This Row],[  5-11]:[  90+]])</f>
        <v>17170</v>
      </c>
      <c r="D4" s="5">
        <v>1964</v>
      </c>
      <c r="E4" s="5">
        <v>1801</v>
      </c>
      <c r="F4" s="5">
        <v>2471</v>
      </c>
      <c r="G4" s="5">
        <v>1797</v>
      </c>
      <c r="H4" s="5">
        <v>1588</v>
      </c>
      <c r="I4" s="5">
        <v>1180</v>
      </c>
      <c r="J4" s="5">
        <v>1034</v>
      </c>
      <c r="K4" s="5">
        <v>1104</v>
      </c>
      <c r="L4" s="5">
        <v>1129</v>
      </c>
      <c r="M4" s="5">
        <v>1000</v>
      </c>
      <c r="N4" s="5">
        <v>816</v>
      </c>
      <c r="O4" s="5">
        <v>574</v>
      </c>
      <c r="P4" s="5">
        <v>343</v>
      </c>
      <c r="Q4" s="5">
        <v>167</v>
      </c>
      <c r="R4" s="5">
        <v>118</v>
      </c>
      <c r="S4" s="5">
        <v>53</v>
      </c>
      <c r="T4" s="5">
        <v>31</v>
      </c>
    </row>
    <row r="5" spans="1:20" ht="15" x14ac:dyDescent="0.2">
      <c r="A5" s="8" t="s">
        <v>2</v>
      </c>
      <c r="B5" s="6" t="s">
        <v>22</v>
      </c>
      <c r="C5" s="5">
        <f>SUM(Table341011121318[[#This Row],[  5-11]:[  90+]])</f>
        <v>60451</v>
      </c>
      <c r="D5" s="5">
        <v>9711</v>
      </c>
      <c r="E5" s="5">
        <v>7938</v>
      </c>
      <c r="F5" s="5">
        <v>7349</v>
      </c>
      <c r="G5" s="5">
        <v>4834</v>
      </c>
      <c r="H5" s="5">
        <v>4425</v>
      </c>
      <c r="I5" s="5">
        <v>3778</v>
      </c>
      <c r="J5" s="5">
        <v>3653</v>
      </c>
      <c r="K5" s="5">
        <v>3591</v>
      </c>
      <c r="L5" s="5">
        <v>3511</v>
      </c>
      <c r="M5" s="5">
        <v>3332</v>
      </c>
      <c r="N5" s="5">
        <v>2928</v>
      </c>
      <c r="O5" s="5">
        <v>2219</v>
      </c>
      <c r="P5" s="5">
        <v>1541</v>
      </c>
      <c r="Q5" s="5">
        <v>850</v>
      </c>
      <c r="R5" s="5">
        <v>498</v>
      </c>
      <c r="S5" s="5">
        <v>217</v>
      </c>
      <c r="T5" s="5">
        <v>76</v>
      </c>
    </row>
    <row r="6" spans="1:20" ht="15" x14ac:dyDescent="0.2">
      <c r="A6" s="8" t="s">
        <v>2</v>
      </c>
      <c r="B6" s="6" t="s">
        <v>0</v>
      </c>
      <c r="C6" s="5">
        <f>SUM(Table341011121318[[#This Row],[  5-11]:[  90+]])</f>
        <v>29417</v>
      </c>
      <c r="D6" s="5">
        <v>5057</v>
      </c>
      <c r="E6" s="5">
        <v>4086</v>
      </c>
      <c r="F6" s="5">
        <v>3710</v>
      </c>
      <c r="G6" s="5">
        <v>2317</v>
      </c>
      <c r="H6" s="5">
        <v>2115</v>
      </c>
      <c r="I6" s="5">
        <v>1803</v>
      </c>
      <c r="J6" s="5">
        <v>1731</v>
      </c>
      <c r="K6" s="5">
        <v>1698</v>
      </c>
      <c r="L6" s="5">
        <v>1647</v>
      </c>
      <c r="M6" s="5">
        <v>1522</v>
      </c>
      <c r="N6" s="5">
        <v>1328</v>
      </c>
      <c r="O6" s="5">
        <v>988</v>
      </c>
      <c r="P6" s="5">
        <v>733</v>
      </c>
      <c r="Q6" s="5">
        <v>383</v>
      </c>
      <c r="R6" s="5">
        <v>194</v>
      </c>
      <c r="S6" s="5">
        <v>84</v>
      </c>
      <c r="T6" s="5">
        <v>21</v>
      </c>
    </row>
    <row r="7" spans="1:20" ht="15" x14ac:dyDescent="0.2">
      <c r="A7" s="8" t="s">
        <v>2</v>
      </c>
      <c r="B7" s="6" t="s">
        <v>23</v>
      </c>
      <c r="C7" s="5">
        <f>SUM(Table341011121318[[#This Row],[  5-11]:[  90+]])</f>
        <v>31034</v>
      </c>
      <c r="D7" s="5">
        <v>4654</v>
      </c>
      <c r="E7" s="5">
        <v>3852</v>
      </c>
      <c r="F7" s="5">
        <v>3639</v>
      </c>
      <c r="G7" s="5">
        <v>2517</v>
      </c>
      <c r="H7" s="5">
        <v>2310</v>
      </c>
      <c r="I7" s="5">
        <v>1975</v>
      </c>
      <c r="J7" s="5">
        <v>1922</v>
      </c>
      <c r="K7" s="5">
        <v>1893</v>
      </c>
      <c r="L7" s="5">
        <v>1864</v>
      </c>
      <c r="M7" s="5">
        <v>1810</v>
      </c>
      <c r="N7" s="5">
        <v>1600</v>
      </c>
      <c r="O7" s="5">
        <v>1231</v>
      </c>
      <c r="P7" s="5">
        <v>808</v>
      </c>
      <c r="Q7" s="5">
        <v>467</v>
      </c>
      <c r="R7" s="5">
        <v>304</v>
      </c>
      <c r="S7" s="5">
        <v>133</v>
      </c>
      <c r="T7" s="5">
        <v>55</v>
      </c>
    </row>
    <row r="8" spans="1:20" x14ac:dyDescent="0.2">
      <c r="A8" s="9" t="s">
        <v>3</v>
      </c>
      <c r="B8" s="6" t="s">
        <v>22</v>
      </c>
      <c r="C8" s="5">
        <f>SUM(Table341011121318[[#This Row],[  5-11]:[  90+]])</f>
        <v>47621</v>
      </c>
      <c r="D8" s="14">
        <v>7781</v>
      </c>
      <c r="E8" s="14">
        <v>6038</v>
      </c>
      <c r="F8" s="14">
        <v>6602</v>
      </c>
      <c r="G8" s="14">
        <v>4455</v>
      </c>
      <c r="H8" s="14">
        <v>4116</v>
      </c>
      <c r="I8" s="14">
        <v>3030</v>
      </c>
      <c r="J8" s="14">
        <v>2788</v>
      </c>
      <c r="K8" s="14">
        <v>2733</v>
      </c>
      <c r="L8" s="14">
        <v>2865</v>
      </c>
      <c r="M8" s="14">
        <v>2302</v>
      </c>
      <c r="N8" s="14">
        <v>1887</v>
      </c>
      <c r="O8" s="14">
        <v>1263</v>
      </c>
      <c r="P8" s="14">
        <v>885</v>
      </c>
      <c r="Q8" s="14">
        <v>497</v>
      </c>
      <c r="R8" s="14">
        <v>246</v>
      </c>
      <c r="S8" s="14">
        <v>91</v>
      </c>
      <c r="T8" s="14">
        <v>42</v>
      </c>
    </row>
    <row r="9" spans="1:20" x14ac:dyDescent="0.2">
      <c r="A9" s="9" t="s">
        <v>3</v>
      </c>
      <c r="B9" s="6" t="s">
        <v>0</v>
      </c>
      <c r="C9" s="5">
        <f>SUM(Table341011121318[[#This Row],[  5-11]:[  90+]])</f>
        <v>23781</v>
      </c>
      <c r="D9" s="14">
        <v>4023</v>
      </c>
      <c r="E9" s="14">
        <v>3108</v>
      </c>
      <c r="F9" s="14">
        <v>3304</v>
      </c>
      <c r="G9" s="14">
        <v>2237</v>
      </c>
      <c r="H9" s="14">
        <v>2047</v>
      </c>
      <c r="I9" s="14">
        <v>1537</v>
      </c>
      <c r="J9" s="14">
        <v>1361</v>
      </c>
      <c r="K9" s="14">
        <v>1300</v>
      </c>
      <c r="L9" s="14">
        <v>1417</v>
      </c>
      <c r="M9" s="14">
        <v>1085</v>
      </c>
      <c r="N9" s="14">
        <v>911</v>
      </c>
      <c r="O9" s="14">
        <v>623</v>
      </c>
      <c r="P9" s="14">
        <v>425</v>
      </c>
      <c r="Q9" s="14">
        <v>243</v>
      </c>
      <c r="R9" s="14">
        <v>112</v>
      </c>
      <c r="S9" s="14">
        <v>36</v>
      </c>
      <c r="T9" s="14">
        <v>12</v>
      </c>
    </row>
    <row r="10" spans="1:20" x14ac:dyDescent="0.2">
      <c r="A10" s="9" t="s">
        <v>3</v>
      </c>
      <c r="B10" s="6" t="s">
        <v>23</v>
      </c>
      <c r="C10" s="5">
        <f>SUM(Table341011121318[[#This Row],[  5-11]:[  90+]])</f>
        <v>23840</v>
      </c>
      <c r="D10" s="14">
        <v>3758</v>
      </c>
      <c r="E10" s="14">
        <v>2930</v>
      </c>
      <c r="F10" s="14">
        <v>3298</v>
      </c>
      <c r="G10" s="14">
        <v>2218</v>
      </c>
      <c r="H10" s="14">
        <v>2069</v>
      </c>
      <c r="I10" s="14">
        <v>1493</v>
      </c>
      <c r="J10" s="14">
        <v>1427</v>
      </c>
      <c r="K10" s="14">
        <v>1433</v>
      </c>
      <c r="L10" s="14">
        <v>1448</v>
      </c>
      <c r="M10" s="14">
        <v>1217</v>
      </c>
      <c r="N10" s="14">
        <v>976</v>
      </c>
      <c r="O10" s="14">
        <v>640</v>
      </c>
      <c r="P10" s="14">
        <v>460</v>
      </c>
      <c r="Q10" s="14">
        <v>254</v>
      </c>
      <c r="R10" s="14">
        <v>134</v>
      </c>
      <c r="S10" s="14">
        <v>55</v>
      </c>
      <c r="T10" s="14">
        <v>30</v>
      </c>
    </row>
    <row r="11" spans="1:20" x14ac:dyDescent="0.2">
      <c r="A11" s="9" t="s">
        <v>4</v>
      </c>
      <c r="B11" s="6" t="s">
        <v>22</v>
      </c>
      <c r="C11" s="5">
        <f>SUM(Table341011121318[[#This Row],[  5-11]:[  90+]])</f>
        <v>32986</v>
      </c>
      <c r="D11" s="15">
        <v>4668</v>
      </c>
      <c r="E11" s="15">
        <v>3779</v>
      </c>
      <c r="F11" s="15">
        <v>5069</v>
      </c>
      <c r="G11" s="15">
        <v>3459</v>
      </c>
      <c r="H11" s="15">
        <v>2842</v>
      </c>
      <c r="I11" s="15">
        <v>1975</v>
      </c>
      <c r="J11" s="15">
        <v>1977</v>
      </c>
      <c r="K11" s="15">
        <v>2092</v>
      </c>
      <c r="L11" s="15">
        <v>1998</v>
      </c>
      <c r="M11" s="15">
        <v>1728</v>
      </c>
      <c r="N11" s="15">
        <v>1314</v>
      </c>
      <c r="O11" s="15">
        <v>883</v>
      </c>
      <c r="P11" s="15">
        <v>578</v>
      </c>
      <c r="Q11" s="15">
        <v>318</v>
      </c>
      <c r="R11" s="15">
        <v>222</v>
      </c>
      <c r="S11" s="15">
        <v>63</v>
      </c>
      <c r="T11" s="15">
        <v>21</v>
      </c>
    </row>
    <row r="12" spans="1:20" x14ac:dyDescent="0.2">
      <c r="A12" s="9" t="s">
        <v>4</v>
      </c>
      <c r="B12" s="6" t="s">
        <v>0</v>
      </c>
      <c r="C12" s="5">
        <f>SUM(Table341011121318[[#This Row],[  5-11]:[  90+]])</f>
        <v>16103</v>
      </c>
      <c r="D12" s="15">
        <v>2422</v>
      </c>
      <c r="E12" s="15">
        <v>1949</v>
      </c>
      <c r="F12" s="15">
        <v>2396</v>
      </c>
      <c r="G12" s="15">
        <v>1703</v>
      </c>
      <c r="H12" s="15">
        <v>1440</v>
      </c>
      <c r="I12" s="15">
        <v>938</v>
      </c>
      <c r="J12" s="15">
        <v>942</v>
      </c>
      <c r="K12" s="15">
        <v>995</v>
      </c>
      <c r="L12" s="15">
        <v>935</v>
      </c>
      <c r="M12" s="15">
        <v>840</v>
      </c>
      <c r="N12" s="15">
        <v>602</v>
      </c>
      <c r="O12" s="15">
        <v>424</v>
      </c>
      <c r="P12" s="15">
        <v>271</v>
      </c>
      <c r="Q12" s="15">
        <v>131</v>
      </c>
      <c r="R12" s="15">
        <v>92</v>
      </c>
      <c r="S12" s="15">
        <v>23</v>
      </c>
      <c r="T12" s="15"/>
    </row>
    <row r="13" spans="1:20" x14ac:dyDescent="0.2">
      <c r="A13" s="9" t="s">
        <v>4</v>
      </c>
      <c r="B13" s="6" t="s">
        <v>23</v>
      </c>
      <c r="C13" s="5">
        <f>SUM(Table341011121318[[#This Row],[  5-11]:[  90+]])</f>
        <v>16883</v>
      </c>
      <c r="D13" s="15">
        <v>2246</v>
      </c>
      <c r="E13" s="15">
        <v>1830</v>
      </c>
      <c r="F13" s="15">
        <v>2673</v>
      </c>
      <c r="G13" s="15">
        <v>1756</v>
      </c>
      <c r="H13" s="15">
        <v>1402</v>
      </c>
      <c r="I13" s="15">
        <v>1037</v>
      </c>
      <c r="J13" s="15">
        <v>1035</v>
      </c>
      <c r="K13" s="15">
        <v>1097</v>
      </c>
      <c r="L13" s="15">
        <v>1063</v>
      </c>
      <c r="M13" s="15">
        <v>888</v>
      </c>
      <c r="N13" s="15">
        <v>712</v>
      </c>
      <c r="O13" s="15">
        <v>459</v>
      </c>
      <c r="P13" s="15">
        <v>307</v>
      </c>
      <c r="Q13" s="15">
        <v>187</v>
      </c>
      <c r="R13" s="15">
        <v>130</v>
      </c>
      <c r="S13" s="15">
        <v>40</v>
      </c>
      <c r="T13" s="15">
        <v>21</v>
      </c>
    </row>
    <row r="14" spans="1:20" x14ac:dyDescent="0.2">
      <c r="A14" s="9" t="s">
        <v>5</v>
      </c>
      <c r="B14" s="6" t="s">
        <v>22</v>
      </c>
      <c r="C14" s="5">
        <f>SUM(Table341011121318[[#This Row],[  5-11]:[  90+]])</f>
        <v>79751</v>
      </c>
      <c r="D14" s="5">
        <v>13491</v>
      </c>
      <c r="E14" s="5">
        <v>10606</v>
      </c>
      <c r="F14" s="5">
        <v>11021</v>
      </c>
      <c r="G14" s="5">
        <v>7475</v>
      </c>
      <c r="H14" s="5">
        <v>6751</v>
      </c>
      <c r="I14" s="5">
        <v>4838</v>
      </c>
      <c r="J14" s="5">
        <v>4480</v>
      </c>
      <c r="K14" s="5">
        <v>4521</v>
      </c>
      <c r="L14" s="5">
        <v>4729</v>
      </c>
      <c r="M14" s="5">
        <v>4020</v>
      </c>
      <c r="N14" s="5">
        <v>3102</v>
      </c>
      <c r="O14" s="5">
        <v>2064</v>
      </c>
      <c r="P14" s="5">
        <v>1338</v>
      </c>
      <c r="Q14" s="5">
        <v>727</v>
      </c>
      <c r="R14" s="5">
        <v>403</v>
      </c>
      <c r="S14" s="5">
        <v>138</v>
      </c>
      <c r="T14" s="5">
        <v>47</v>
      </c>
    </row>
    <row r="15" spans="1:20" x14ac:dyDescent="0.2">
      <c r="A15" s="9" t="s">
        <v>5</v>
      </c>
      <c r="B15" s="6" t="s">
        <v>0</v>
      </c>
      <c r="C15" s="5">
        <f>SUM(Table341011121318[[#This Row],[  5-11]:[  90+]])</f>
        <v>37986</v>
      </c>
      <c r="D15" s="5">
        <v>6936</v>
      </c>
      <c r="E15" s="5">
        <v>5452</v>
      </c>
      <c r="F15" s="5">
        <v>5464</v>
      </c>
      <c r="G15" s="5">
        <v>3444</v>
      </c>
      <c r="H15" s="5">
        <v>3060</v>
      </c>
      <c r="I15" s="5">
        <v>2166</v>
      </c>
      <c r="J15" s="5">
        <v>2013</v>
      </c>
      <c r="K15" s="5">
        <v>2053</v>
      </c>
      <c r="L15" s="5">
        <v>2165</v>
      </c>
      <c r="M15" s="5">
        <v>1858</v>
      </c>
      <c r="N15" s="5">
        <v>1399</v>
      </c>
      <c r="O15" s="5">
        <v>890</v>
      </c>
      <c r="P15" s="5">
        <v>560</v>
      </c>
      <c r="Q15" s="5">
        <v>317</v>
      </c>
      <c r="R15" s="5">
        <v>146</v>
      </c>
      <c r="S15" s="5">
        <v>51</v>
      </c>
      <c r="T15" s="5">
        <v>12</v>
      </c>
    </row>
    <row r="16" spans="1:20" x14ac:dyDescent="0.2">
      <c r="A16" s="9" t="s">
        <v>5</v>
      </c>
      <c r="B16" s="6" t="s">
        <v>23</v>
      </c>
      <c r="C16" s="5">
        <f>SUM(Table341011121318[[#This Row],[  5-11]:[  90+]])</f>
        <v>41765</v>
      </c>
      <c r="D16" s="5">
        <v>6555</v>
      </c>
      <c r="E16" s="5">
        <v>5154</v>
      </c>
      <c r="F16" s="5">
        <v>5557</v>
      </c>
      <c r="G16" s="5">
        <v>4031</v>
      </c>
      <c r="H16" s="5">
        <v>3691</v>
      </c>
      <c r="I16" s="5">
        <v>2672</v>
      </c>
      <c r="J16" s="5">
        <v>2467</v>
      </c>
      <c r="K16" s="5">
        <v>2468</v>
      </c>
      <c r="L16" s="5">
        <v>2564</v>
      </c>
      <c r="M16" s="5">
        <v>2162</v>
      </c>
      <c r="N16" s="5">
        <v>1703</v>
      </c>
      <c r="O16" s="5">
        <v>1174</v>
      </c>
      <c r="P16" s="5">
        <v>778</v>
      </c>
      <c r="Q16" s="5">
        <v>410</v>
      </c>
      <c r="R16" s="5">
        <v>257</v>
      </c>
      <c r="S16" s="5">
        <v>87</v>
      </c>
      <c r="T16" s="5">
        <v>35</v>
      </c>
    </row>
    <row r="17" spans="1:20" x14ac:dyDescent="0.2">
      <c r="A17" s="12" t="s">
        <v>6</v>
      </c>
      <c r="B17" s="6" t="s">
        <v>22</v>
      </c>
      <c r="C17" s="5">
        <f>SUM(Table341011121318[[#This Row],[  5-11]:[  90+]])</f>
        <v>43206</v>
      </c>
      <c r="D17" s="5">
        <v>7077</v>
      </c>
      <c r="E17" s="5">
        <v>5793</v>
      </c>
      <c r="F17" s="5">
        <v>5373</v>
      </c>
      <c r="G17" s="5">
        <v>3656</v>
      </c>
      <c r="H17" s="5">
        <v>3281</v>
      </c>
      <c r="I17" s="5">
        <v>2612</v>
      </c>
      <c r="J17" s="5">
        <v>2481</v>
      </c>
      <c r="K17" s="5">
        <v>2547</v>
      </c>
      <c r="L17" s="5">
        <v>2467</v>
      </c>
      <c r="M17" s="5">
        <v>2323</v>
      </c>
      <c r="N17" s="5">
        <v>2069</v>
      </c>
      <c r="O17" s="5">
        <v>1475</v>
      </c>
      <c r="P17" s="5">
        <v>1047</v>
      </c>
      <c r="Q17" s="5">
        <v>526</v>
      </c>
      <c r="R17" s="5">
        <v>305</v>
      </c>
      <c r="S17" s="5">
        <v>137</v>
      </c>
      <c r="T17" s="5">
        <v>37</v>
      </c>
    </row>
    <row r="18" spans="1:20" x14ac:dyDescent="0.2">
      <c r="A18" s="9" t="s">
        <v>6</v>
      </c>
      <c r="B18" s="6" t="s">
        <v>0</v>
      </c>
      <c r="C18" s="5">
        <f>SUM(Table341011121318[[#This Row],[  5-11]:[  90+]])</f>
        <v>20581</v>
      </c>
      <c r="D18" s="5">
        <v>3606</v>
      </c>
      <c r="E18" s="5">
        <v>2864</v>
      </c>
      <c r="F18" s="5">
        <v>2665</v>
      </c>
      <c r="G18" s="5">
        <v>1791</v>
      </c>
      <c r="H18" s="5">
        <v>1491</v>
      </c>
      <c r="I18" s="5">
        <v>1224</v>
      </c>
      <c r="J18" s="5">
        <v>1137</v>
      </c>
      <c r="K18" s="5">
        <v>1165</v>
      </c>
      <c r="L18" s="5">
        <v>1104</v>
      </c>
      <c r="M18" s="5">
        <v>1058</v>
      </c>
      <c r="N18" s="5">
        <v>930</v>
      </c>
      <c r="O18" s="5">
        <v>666</v>
      </c>
      <c r="P18" s="5">
        <v>482</v>
      </c>
      <c r="Q18" s="5">
        <v>205</v>
      </c>
      <c r="R18" s="5">
        <v>137</v>
      </c>
      <c r="S18" s="5">
        <v>44</v>
      </c>
      <c r="T18" s="5">
        <v>12</v>
      </c>
    </row>
    <row r="19" spans="1:20" x14ac:dyDescent="0.2">
      <c r="A19" s="9" t="s">
        <v>6</v>
      </c>
      <c r="B19" s="6" t="s">
        <v>23</v>
      </c>
      <c r="C19" s="5">
        <f>SUM(Table341011121318[[#This Row],[  5-11]:[  90+]])</f>
        <v>22625</v>
      </c>
      <c r="D19" s="5">
        <v>3471</v>
      </c>
      <c r="E19" s="5">
        <v>2929</v>
      </c>
      <c r="F19" s="5">
        <v>2708</v>
      </c>
      <c r="G19" s="5">
        <v>1865</v>
      </c>
      <c r="H19" s="5">
        <v>1790</v>
      </c>
      <c r="I19" s="5">
        <v>1388</v>
      </c>
      <c r="J19" s="5">
        <v>1344</v>
      </c>
      <c r="K19" s="5">
        <v>1382</v>
      </c>
      <c r="L19" s="5">
        <v>1363</v>
      </c>
      <c r="M19" s="5">
        <v>1265</v>
      </c>
      <c r="N19" s="5">
        <v>1139</v>
      </c>
      <c r="O19" s="5">
        <v>809</v>
      </c>
      <c r="P19" s="5">
        <v>565</v>
      </c>
      <c r="Q19" s="5">
        <v>321</v>
      </c>
      <c r="R19" s="5">
        <v>168</v>
      </c>
      <c r="S19" s="5">
        <v>93</v>
      </c>
      <c r="T19" s="5">
        <v>25</v>
      </c>
    </row>
    <row r="20" spans="1:20" x14ac:dyDescent="0.2">
      <c r="A20" s="9" t="s">
        <v>7</v>
      </c>
      <c r="B20" s="6" t="s">
        <v>22</v>
      </c>
      <c r="C20" s="5">
        <f>SUM(Table341011121318[[#This Row],[  5-11]:[  90+]])</f>
        <v>23777</v>
      </c>
      <c r="D20" s="5">
        <v>3647</v>
      </c>
      <c r="E20" s="5">
        <v>2874</v>
      </c>
      <c r="F20" s="5">
        <v>3117</v>
      </c>
      <c r="G20" s="5">
        <v>2185</v>
      </c>
      <c r="H20" s="5">
        <v>2020</v>
      </c>
      <c r="I20" s="5">
        <v>1617</v>
      </c>
      <c r="J20" s="5">
        <v>1541</v>
      </c>
      <c r="K20" s="5">
        <v>1478</v>
      </c>
      <c r="L20" s="5">
        <v>1395</v>
      </c>
      <c r="M20" s="5">
        <v>1239</v>
      </c>
      <c r="N20" s="5">
        <v>1078</v>
      </c>
      <c r="O20" s="5">
        <v>719</v>
      </c>
      <c r="P20" s="5">
        <v>449</v>
      </c>
      <c r="Q20" s="5">
        <v>234</v>
      </c>
      <c r="R20" s="5">
        <v>124</v>
      </c>
      <c r="S20" s="5">
        <v>47</v>
      </c>
      <c r="T20" s="5">
        <v>13</v>
      </c>
    </row>
    <row r="21" spans="1:20" x14ac:dyDescent="0.2">
      <c r="A21" s="9" t="s">
        <v>7</v>
      </c>
      <c r="B21" s="6" t="s">
        <v>0</v>
      </c>
      <c r="C21" s="5">
        <f>SUM(Table341011121318[[#This Row],[  5-11]:[  90+]])</f>
        <v>11774</v>
      </c>
      <c r="D21" s="5">
        <v>1900</v>
      </c>
      <c r="E21" s="5">
        <v>1518</v>
      </c>
      <c r="F21" s="5">
        <v>1609</v>
      </c>
      <c r="G21" s="5">
        <v>1066</v>
      </c>
      <c r="H21" s="5">
        <v>1019</v>
      </c>
      <c r="I21" s="5">
        <v>741</v>
      </c>
      <c r="J21" s="5">
        <v>762</v>
      </c>
      <c r="K21" s="5">
        <v>681</v>
      </c>
      <c r="L21" s="5">
        <v>642</v>
      </c>
      <c r="M21" s="5">
        <v>605</v>
      </c>
      <c r="N21" s="5">
        <v>511</v>
      </c>
      <c r="O21" s="5">
        <v>319</v>
      </c>
      <c r="P21" s="5">
        <v>216</v>
      </c>
      <c r="Q21" s="5">
        <v>113</v>
      </c>
      <c r="R21" s="5">
        <v>54</v>
      </c>
      <c r="S21" s="5">
        <v>18</v>
      </c>
    </row>
    <row r="22" spans="1:20" x14ac:dyDescent="0.2">
      <c r="A22" s="9" t="s">
        <v>7</v>
      </c>
      <c r="B22" s="6" t="s">
        <v>23</v>
      </c>
      <c r="C22" s="5">
        <f>SUM(Table341011121318[[#This Row],[  5-11]:[  90+]])</f>
        <v>12003</v>
      </c>
      <c r="D22" s="5">
        <v>1747</v>
      </c>
      <c r="E22" s="5">
        <v>1356</v>
      </c>
      <c r="F22" s="5">
        <v>1508</v>
      </c>
      <c r="G22" s="5">
        <v>1119</v>
      </c>
      <c r="H22" s="5">
        <v>1001</v>
      </c>
      <c r="I22" s="5">
        <v>876</v>
      </c>
      <c r="J22" s="5">
        <v>779</v>
      </c>
      <c r="K22" s="5">
        <v>797</v>
      </c>
      <c r="L22" s="5">
        <v>753</v>
      </c>
      <c r="M22" s="5">
        <v>634</v>
      </c>
      <c r="N22" s="5">
        <v>567</v>
      </c>
      <c r="O22" s="5">
        <v>400</v>
      </c>
      <c r="P22" s="5">
        <v>233</v>
      </c>
      <c r="Q22" s="5">
        <v>121</v>
      </c>
      <c r="R22" s="5">
        <v>70</v>
      </c>
      <c r="S22" s="5">
        <v>29</v>
      </c>
      <c r="T22" s="5">
        <v>13</v>
      </c>
    </row>
    <row r="23" spans="1:20" x14ac:dyDescent="0.2">
      <c r="A23" s="9" t="s">
        <v>8</v>
      </c>
      <c r="B23" s="6" t="s">
        <v>22</v>
      </c>
      <c r="C23" s="5">
        <f>SUM(Table341011121318[[#This Row],[  5-11]:[  90+]])</f>
        <v>37905</v>
      </c>
      <c r="D23" s="5">
        <v>5898</v>
      </c>
      <c r="E23" s="5">
        <v>4972</v>
      </c>
      <c r="F23" s="5">
        <v>4553</v>
      </c>
      <c r="G23" s="5">
        <v>3020</v>
      </c>
      <c r="H23" s="5">
        <v>3090</v>
      </c>
      <c r="I23" s="5">
        <v>2392</v>
      </c>
      <c r="J23" s="5">
        <v>2206</v>
      </c>
      <c r="K23" s="5">
        <v>2309</v>
      </c>
      <c r="L23" s="5">
        <v>2289</v>
      </c>
      <c r="M23" s="5">
        <v>2086</v>
      </c>
      <c r="N23" s="5">
        <v>1954</v>
      </c>
      <c r="O23" s="5">
        <v>1286</v>
      </c>
      <c r="P23" s="5">
        <v>891</v>
      </c>
      <c r="Q23" s="5">
        <v>495</v>
      </c>
      <c r="R23" s="5">
        <v>291</v>
      </c>
      <c r="S23" s="5">
        <v>126</v>
      </c>
      <c r="T23" s="5">
        <v>47</v>
      </c>
    </row>
    <row r="24" spans="1:20" x14ac:dyDescent="0.2">
      <c r="A24" s="9" t="s">
        <v>8</v>
      </c>
      <c r="B24" s="6" t="s">
        <v>0</v>
      </c>
      <c r="C24" s="5">
        <f>SUM(Table341011121318[[#This Row],[  5-11]:[  90+]])</f>
        <v>18253</v>
      </c>
      <c r="D24" s="5">
        <v>3066</v>
      </c>
      <c r="E24" s="5">
        <v>2571</v>
      </c>
      <c r="F24" s="5">
        <v>2297</v>
      </c>
      <c r="G24" s="5">
        <v>1467</v>
      </c>
      <c r="H24" s="5">
        <v>1458</v>
      </c>
      <c r="I24" s="5">
        <v>1090</v>
      </c>
      <c r="J24" s="5">
        <v>1016</v>
      </c>
      <c r="K24" s="5">
        <v>1081</v>
      </c>
      <c r="L24" s="5">
        <v>1049</v>
      </c>
      <c r="M24" s="5">
        <v>952</v>
      </c>
      <c r="N24" s="5">
        <v>887</v>
      </c>
      <c r="O24" s="5">
        <v>562</v>
      </c>
      <c r="P24" s="5">
        <v>372</v>
      </c>
      <c r="Q24" s="5">
        <v>208</v>
      </c>
      <c r="R24" s="5">
        <v>111</v>
      </c>
      <c r="S24" s="5">
        <v>51</v>
      </c>
      <c r="T24" s="5">
        <v>15</v>
      </c>
    </row>
    <row r="25" spans="1:20" x14ac:dyDescent="0.2">
      <c r="A25" s="9" t="s">
        <v>8</v>
      </c>
      <c r="B25" s="6" t="s">
        <v>23</v>
      </c>
      <c r="C25" s="5">
        <f>SUM(Table341011121318[[#This Row],[  5-11]:[  90+]])</f>
        <v>19652</v>
      </c>
      <c r="D25" s="5">
        <v>2832</v>
      </c>
      <c r="E25" s="5">
        <v>2401</v>
      </c>
      <c r="F25" s="5">
        <v>2256</v>
      </c>
      <c r="G25" s="5">
        <v>1553</v>
      </c>
      <c r="H25" s="5">
        <v>1632</v>
      </c>
      <c r="I25" s="5">
        <v>1302</v>
      </c>
      <c r="J25" s="5">
        <v>1190</v>
      </c>
      <c r="K25" s="5">
        <v>1228</v>
      </c>
      <c r="L25" s="5">
        <v>1240</v>
      </c>
      <c r="M25" s="5">
        <v>1134</v>
      </c>
      <c r="N25" s="5">
        <v>1067</v>
      </c>
      <c r="O25" s="5">
        <v>724</v>
      </c>
      <c r="P25" s="5">
        <v>519</v>
      </c>
      <c r="Q25" s="5">
        <v>287</v>
      </c>
      <c r="R25" s="5">
        <v>180</v>
      </c>
      <c r="S25" s="5">
        <v>75</v>
      </c>
      <c r="T25" s="5">
        <v>32</v>
      </c>
    </row>
    <row r="26" spans="1:20" x14ac:dyDescent="0.2">
      <c r="A26" s="9" t="s">
        <v>9</v>
      </c>
      <c r="B26" s="6" t="s">
        <v>22</v>
      </c>
      <c r="C26" s="5">
        <f>SUM(Table341011121318[[#This Row],[  5-11]:[  90+]])</f>
        <v>31973</v>
      </c>
      <c r="D26" s="5">
        <v>5628</v>
      </c>
      <c r="E26" s="5">
        <v>4227</v>
      </c>
      <c r="F26" s="5">
        <v>4287</v>
      </c>
      <c r="G26" s="5">
        <v>2744</v>
      </c>
      <c r="H26" s="5">
        <v>2524</v>
      </c>
      <c r="I26" s="5">
        <v>1884</v>
      </c>
      <c r="J26" s="5">
        <v>1730</v>
      </c>
      <c r="K26" s="5">
        <v>1801</v>
      </c>
      <c r="L26" s="5">
        <v>1762</v>
      </c>
      <c r="M26" s="5">
        <v>1641</v>
      </c>
      <c r="N26" s="5">
        <v>1367</v>
      </c>
      <c r="O26" s="5">
        <v>969</v>
      </c>
      <c r="P26" s="5">
        <v>687</v>
      </c>
      <c r="Q26" s="5">
        <v>378</v>
      </c>
      <c r="R26" s="5">
        <v>219</v>
      </c>
      <c r="S26" s="5">
        <v>93</v>
      </c>
      <c r="T26" s="5">
        <v>32</v>
      </c>
    </row>
    <row r="27" spans="1:20" x14ac:dyDescent="0.2">
      <c r="A27" s="9" t="s">
        <v>9</v>
      </c>
      <c r="B27" s="6" t="s">
        <v>0</v>
      </c>
      <c r="C27" s="5">
        <f>SUM(Table341011121318[[#This Row],[  5-11]:[  90+]])</f>
        <v>15364</v>
      </c>
      <c r="D27" s="5">
        <v>2859</v>
      </c>
      <c r="E27" s="5">
        <v>2205</v>
      </c>
      <c r="F27" s="5">
        <v>2143</v>
      </c>
      <c r="G27" s="5">
        <v>1381</v>
      </c>
      <c r="H27" s="5">
        <v>1155</v>
      </c>
      <c r="I27" s="5">
        <v>860</v>
      </c>
      <c r="J27" s="5">
        <v>818</v>
      </c>
      <c r="K27" s="5">
        <v>820</v>
      </c>
      <c r="L27" s="5">
        <v>771</v>
      </c>
      <c r="M27" s="5">
        <v>718</v>
      </c>
      <c r="N27" s="5">
        <v>610</v>
      </c>
      <c r="O27" s="5">
        <v>426</v>
      </c>
      <c r="P27" s="5">
        <v>302</v>
      </c>
      <c r="Q27" s="5">
        <v>169</v>
      </c>
      <c r="R27" s="5">
        <v>89</v>
      </c>
      <c r="S27" s="5">
        <v>27</v>
      </c>
      <c r="T27" s="5">
        <v>11</v>
      </c>
    </row>
    <row r="28" spans="1:20" x14ac:dyDescent="0.2">
      <c r="A28" s="9" t="s">
        <v>9</v>
      </c>
      <c r="B28" s="6" t="s">
        <v>23</v>
      </c>
      <c r="C28" s="5">
        <f>SUM(Table341011121318[[#This Row],[  5-11]:[  90+]])</f>
        <v>16609</v>
      </c>
      <c r="D28" s="5">
        <v>2769</v>
      </c>
      <c r="E28" s="5">
        <v>2022</v>
      </c>
      <c r="F28" s="5">
        <v>2144</v>
      </c>
      <c r="G28" s="5">
        <v>1363</v>
      </c>
      <c r="H28" s="5">
        <v>1369</v>
      </c>
      <c r="I28" s="5">
        <v>1024</v>
      </c>
      <c r="J28" s="5">
        <v>912</v>
      </c>
      <c r="K28" s="5">
        <v>981</v>
      </c>
      <c r="L28" s="5">
        <v>991</v>
      </c>
      <c r="M28" s="5">
        <v>923</v>
      </c>
      <c r="N28" s="5">
        <v>757</v>
      </c>
      <c r="O28" s="5">
        <v>543</v>
      </c>
      <c r="P28" s="5">
        <v>385</v>
      </c>
      <c r="Q28" s="5">
        <v>209</v>
      </c>
      <c r="R28" s="5">
        <v>130</v>
      </c>
      <c r="S28" s="5">
        <v>66</v>
      </c>
      <c r="T28" s="5">
        <v>21</v>
      </c>
    </row>
    <row r="29" spans="1:20" x14ac:dyDescent="0.2">
      <c r="A29" s="9" t="s">
        <v>10</v>
      </c>
      <c r="B29" s="6" t="s">
        <v>22</v>
      </c>
      <c r="C29" s="5">
        <f>SUM(Table341011121318[[#This Row],[  5-11]:[  90+]])</f>
        <v>14641</v>
      </c>
      <c r="D29" s="5">
        <v>2514</v>
      </c>
      <c r="E29" s="5">
        <v>1977</v>
      </c>
      <c r="F29" s="5">
        <v>1777</v>
      </c>
      <c r="G29" s="5">
        <v>1156</v>
      </c>
      <c r="H29" s="5">
        <v>1079</v>
      </c>
      <c r="I29" s="5">
        <v>907</v>
      </c>
      <c r="J29" s="5">
        <v>772</v>
      </c>
      <c r="K29" s="5">
        <v>863</v>
      </c>
      <c r="L29" s="5">
        <v>909</v>
      </c>
      <c r="M29" s="5">
        <v>835</v>
      </c>
      <c r="N29" s="5">
        <v>705</v>
      </c>
      <c r="O29" s="5">
        <v>450</v>
      </c>
      <c r="P29" s="5">
        <v>340</v>
      </c>
      <c r="Q29" s="5">
        <v>216</v>
      </c>
      <c r="R29" s="5">
        <v>98</v>
      </c>
      <c r="S29" s="5">
        <v>31</v>
      </c>
      <c r="T29" s="5">
        <v>12</v>
      </c>
    </row>
    <row r="30" spans="1:20" x14ac:dyDescent="0.2">
      <c r="A30" s="9" t="s">
        <v>10</v>
      </c>
      <c r="B30" s="6" t="s">
        <v>0</v>
      </c>
      <c r="C30" s="5">
        <f>SUM(Table341011121318[[#This Row],[  5-11]:[  90+]])</f>
        <v>7103</v>
      </c>
      <c r="D30" s="5">
        <v>1312</v>
      </c>
      <c r="E30" s="5">
        <v>1020</v>
      </c>
      <c r="F30" s="5">
        <v>932</v>
      </c>
      <c r="G30" s="5">
        <v>602</v>
      </c>
      <c r="H30" s="5">
        <v>507</v>
      </c>
      <c r="I30" s="5">
        <v>426</v>
      </c>
      <c r="J30" s="5">
        <v>361</v>
      </c>
      <c r="K30" s="5">
        <v>414</v>
      </c>
      <c r="L30" s="5">
        <v>413</v>
      </c>
      <c r="M30" s="5">
        <v>368</v>
      </c>
      <c r="N30" s="5">
        <v>295</v>
      </c>
      <c r="O30" s="5">
        <v>184</v>
      </c>
      <c r="P30" s="5">
        <v>124</v>
      </c>
      <c r="Q30" s="5">
        <v>89</v>
      </c>
      <c r="R30" s="5">
        <v>45</v>
      </c>
      <c r="S30" s="5">
        <v>11</v>
      </c>
    </row>
    <row r="31" spans="1:20" x14ac:dyDescent="0.2">
      <c r="A31" s="9" t="s">
        <v>10</v>
      </c>
      <c r="B31" s="6" t="s">
        <v>23</v>
      </c>
      <c r="C31" s="5">
        <f>SUM(Table341011121318[[#This Row],[  5-11]:[  90+]])</f>
        <v>7538</v>
      </c>
      <c r="D31" s="5">
        <v>1202</v>
      </c>
      <c r="E31" s="5">
        <v>957</v>
      </c>
      <c r="F31" s="5">
        <v>845</v>
      </c>
      <c r="G31" s="5">
        <v>554</v>
      </c>
      <c r="H31" s="5">
        <v>572</v>
      </c>
      <c r="I31" s="5">
        <v>481</v>
      </c>
      <c r="J31" s="5">
        <v>411</v>
      </c>
      <c r="K31" s="5">
        <v>449</v>
      </c>
      <c r="L31" s="5">
        <v>496</v>
      </c>
      <c r="M31" s="5">
        <v>467</v>
      </c>
      <c r="N31" s="5">
        <v>410</v>
      </c>
      <c r="O31" s="5">
        <v>266</v>
      </c>
      <c r="P31" s="5">
        <v>216</v>
      </c>
      <c r="Q31" s="5">
        <v>127</v>
      </c>
      <c r="R31" s="5">
        <v>53</v>
      </c>
      <c r="S31" s="5">
        <v>20</v>
      </c>
      <c r="T31" s="5">
        <v>12</v>
      </c>
    </row>
    <row r="32" spans="1:20" x14ac:dyDescent="0.2">
      <c r="A32" s="9" t="s">
        <v>11</v>
      </c>
      <c r="B32" s="6" t="s">
        <v>22</v>
      </c>
      <c r="C32" s="5">
        <f>SUM(Table341011121318[[#This Row],[  5-11]:[  90+]])</f>
        <v>64048</v>
      </c>
      <c r="D32" s="5">
        <v>10606</v>
      </c>
      <c r="E32" s="5">
        <v>8200</v>
      </c>
      <c r="F32" s="5">
        <v>7206</v>
      </c>
      <c r="G32" s="5">
        <v>4633</v>
      </c>
      <c r="H32" s="5">
        <v>4762</v>
      </c>
      <c r="I32" s="5">
        <v>3675</v>
      </c>
      <c r="J32" s="5">
        <v>3339</v>
      </c>
      <c r="K32" s="5">
        <v>3798</v>
      </c>
      <c r="L32" s="5">
        <v>3968</v>
      </c>
      <c r="M32" s="5">
        <v>3960</v>
      </c>
      <c r="N32" s="5">
        <v>3557</v>
      </c>
      <c r="O32" s="5">
        <v>2605</v>
      </c>
      <c r="P32" s="5">
        <v>1772</v>
      </c>
      <c r="Q32" s="5">
        <v>1022</v>
      </c>
      <c r="R32" s="5">
        <v>584</v>
      </c>
      <c r="S32" s="5">
        <v>258</v>
      </c>
      <c r="T32" s="5">
        <v>103</v>
      </c>
    </row>
    <row r="33" spans="1:20" x14ac:dyDescent="0.2">
      <c r="A33" s="9" t="s">
        <v>11</v>
      </c>
      <c r="B33" s="6" t="s">
        <v>0</v>
      </c>
      <c r="C33" s="5">
        <f>SUM(Table341011121318[[#This Row],[  5-11]:[  90+]])</f>
        <v>30972</v>
      </c>
      <c r="D33" s="5">
        <v>5480</v>
      </c>
      <c r="E33" s="5">
        <v>4207</v>
      </c>
      <c r="F33" s="5">
        <v>3675</v>
      </c>
      <c r="G33" s="5">
        <v>2289</v>
      </c>
      <c r="H33" s="5">
        <v>2279</v>
      </c>
      <c r="I33" s="5">
        <v>1764</v>
      </c>
      <c r="J33" s="5">
        <v>1594</v>
      </c>
      <c r="K33" s="5">
        <v>1701</v>
      </c>
      <c r="L33" s="5">
        <v>1837</v>
      </c>
      <c r="M33" s="5">
        <v>1811</v>
      </c>
      <c r="N33" s="5">
        <v>1587</v>
      </c>
      <c r="O33" s="5">
        <v>1144</v>
      </c>
      <c r="P33" s="5">
        <v>778</v>
      </c>
      <c r="Q33" s="5">
        <v>449</v>
      </c>
      <c r="R33" s="5">
        <v>240</v>
      </c>
      <c r="S33" s="5">
        <v>101</v>
      </c>
      <c r="T33" s="5">
        <v>36</v>
      </c>
    </row>
    <row r="34" spans="1:20" x14ac:dyDescent="0.2">
      <c r="A34" s="9" t="s">
        <v>11</v>
      </c>
      <c r="B34" s="6" t="s">
        <v>23</v>
      </c>
      <c r="C34" s="5">
        <f>SUM(Table341011121318[[#This Row],[  5-11]:[  90+]])</f>
        <v>33076</v>
      </c>
      <c r="D34" s="5">
        <v>5126</v>
      </c>
      <c r="E34" s="5">
        <v>3993</v>
      </c>
      <c r="F34" s="5">
        <v>3531</v>
      </c>
      <c r="G34" s="5">
        <v>2344</v>
      </c>
      <c r="H34" s="5">
        <v>2483</v>
      </c>
      <c r="I34" s="5">
        <v>1911</v>
      </c>
      <c r="J34" s="5">
        <v>1745</v>
      </c>
      <c r="K34" s="5">
        <v>2097</v>
      </c>
      <c r="L34" s="5">
        <v>2131</v>
      </c>
      <c r="M34" s="5">
        <v>2149</v>
      </c>
      <c r="N34" s="5">
        <v>1970</v>
      </c>
      <c r="O34" s="5">
        <v>1461</v>
      </c>
      <c r="P34" s="5">
        <v>994</v>
      </c>
      <c r="Q34" s="5">
        <v>573</v>
      </c>
      <c r="R34" s="5">
        <v>344</v>
      </c>
      <c r="S34" s="5">
        <v>157</v>
      </c>
      <c r="T34" s="5">
        <v>67</v>
      </c>
    </row>
    <row r="35" spans="1:20" x14ac:dyDescent="0.2">
      <c r="A35" s="9" t="s">
        <v>12</v>
      </c>
      <c r="B35" s="6" t="s">
        <v>22</v>
      </c>
      <c r="C35" s="5">
        <f>SUM(Table341011121318[[#This Row],[  5-11]:[  90+]])</f>
        <v>3965</v>
      </c>
      <c r="D35" s="5">
        <v>49</v>
      </c>
      <c r="E35" s="5">
        <v>355</v>
      </c>
      <c r="F35" s="5">
        <v>558</v>
      </c>
      <c r="G35" s="5">
        <v>564</v>
      </c>
      <c r="H35" s="5">
        <v>580</v>
      </c>
      <c r="I35" s="5">
        <v>418</v>
      </c>
      <c r="J35" s="5">
        <v>362</v>
      </c>
      <c r="K35" s="5">
        <v>345</v>
      </c>
      <c r="L35" s="5">
        <v>315</v>
      </c>
      <c r="M35" s="5">
        <v>238</v>
      </c>
      <c r="N35" s="5">
        <v>181</v>
      </c>
    </row>
    <row r="36" spans="1:20" x14ac:dyDescent="0.2">
      <c r="A36" s="9" t="s">
        <v>12</v>
      </c>
      <c r="B36" s="6" t="s">
        <v>0</v>
      </c>
      <c r="C36" s="5">
        <f>SUM(Table341011121318[[#This Row],[  5-11]:[  90+]])</f>
        <v>2918</v>
      </c>
      <c r="E36" s="5">
        <v>201</v>
      </c>
      <c r="F36" s="5">
        <v>396</v>
      </c>
      <c r="G36" s="5">
        <v>470</v>
      </c>
      <c r="H36" s="5">
        <v>475</v>
      </c>
      <c r="I36" s="5">
        <v>346</v>
      </c>
      <c r="J36" s="5">
        <v>280</v>
      </c>
      <c r="K36" s="5">
        <v>238</v>
      </c>
      <c r="L36" s="5">
        <v>239</v>
      </c>
      <c r="M36" s="5">
        <v>157</v>
      </c>
      <c r="N36" s="5">
        <v>116</v>
      </c>
    </row>
    <row r="37" spans="1:20" x14ac:dyDescent="0.2">
      <c r="A37" s="9" t="s">
        <v>12</v>
      </c>
      <c r="B37" s="6" t="s">
        <v>23</v>
      </c>
      <c r="C37" s="5">
        <f>SUM(Table341011121318[[#This Row],[  5-11]:[  90+]])</f>
        <v>1047</v>
      </c>
      <c r="D37" s="5">
        <v>49</v>
      </c>
      <c r="E37" s="5">
        <v>154</v>
      </c>
      <c r="F37" s="5">
        <v>162</v>
      </c>
      <c r="G37" s="5">
        <v>94</v>
      </c>
      <c r="H37" s="5">
        <v>105</v>
      </c>
      <c r="I37" s="5">
        <v>72</v>
      </c>
      <c r="J37" s="5">
        <v>82</v>
      </c>
      <c r="K37" s="5">
        <v>107</v>
      </c>
      <c r="L37" s="5">
        <v>76</v>
      </c>
      <c r="M37" s="5">
        <v>81</v>
      </c>
      <c r="N37" s="5">
        <v>65</v>
      </c>
    </row>
    <row r="38" spans="1:20" x14ac:dyDescent="0.2">
      <c r="A38" s="9" t="s">
        <v>13</v>
      </c>
      <c r="B38" s="6" t="s">
        <v>22</v>
      </c>
      <c r="C38" s="5">
        <f>SUM(Table341011121318[[#This Row],[  5-11]:[  90+]])</f>
        <v>4478</v>
      </c>
      <c r="D38" s="5">
        <v>827</v>
      </c>
      <c r="E38" s="5">
        <v>597</v>
      </c>
      <c r="F38" s="5">
        <v>554</v>
      </c>
      <c r="G38" s="5">
        <v>368</v>
      </c>
      <c r="H38" s="5">
        <v>343</v>
      </c>
      <c r="I38" s="5">
        <v>248</v>
      </c>
      <c r="J38" s="5">
        <v>240</v>
      </c>
      <c r="K38" s="5">
        <v>282</v>
      </c>
      <c r="L38" s="5">
        <v>269</v>
      </c>
      <c r="M38" s="5">
        <v>220</v>
      </c>
      <c r="N38" s="5">
        <v>188</v>
      </c>
      <c r="O38" s="5">
        <v>141</v>
      </c>
      <c r="P38" s="5">
        <v>105</v>
      </c>
      <c r="Q38" s="5">
        <v>43</v>
      </c>
      <c r="R38" s="5">
        <v>37</v>
      </c>
      <c r="S38" s="5">
        <v>16</v>
      </c>
    </row>
    <row r="39" spans="1:20" x14ac:dyDescent="0.2">
      <c r="A39" s="9" t="s">
        <v>13</v>
      </c>
      <c r="B39" s="6" t="s">
        <v>0</v>
      </c>
      <c r="C39" s="5">
        <f>SUM(Table341011121318[[#This Row],[  5-11]:[  90+]])</f>
        <v>2205</v>
      </c>
      <c r="D39" s="5">
        <v>430</v>
      </c>
      <c r="E39" s="5">
        <v>304</v>
      </c>
      <c r="F39" s="5">
        <v>290</v>
      </c>
      <c r="G39" s="5">
        <v>193</v>
      </c>
      <c r="H39" s="5">
        <v>175</v>
      </c>
      <c r="I39" s="5">
        <v>136</v>
      </c>
      <c r="J39" s="5">
        <v>112</v>
      </c>
      <c r="K39" s="5">
        <v>127</v>
      </c>
      <c r="L39" s="5">
        <v>107</v>
      </c>
      <c r="M39" s="5">
        <v>94</v>
      </c>
      <c r="N39" s="5">
        <v>87</v>
      </c>
      <c r="O39" s="5">
        <v>62</v>
      </c>
      <c r="P39" s="5">
        <v>45</v>
      </c>
      <c r="Q39" s="5">
        <v>17</v>
      </c>
      <c r="R39" s="5">
        <v>19</v>
      </c>
      <c r="S39" s="5">
        <v>7</v>
      </c>
    </row>
    <row r="40" spans="1:20" x14ac:dyDescent="0.2">
      <c r="A40" s="9" t="s">
        <v>13</v>
      </c>
      <c r="B40" s="6" t="s">
        <v>23</v>
      </c>
      <c r="C40" s="5">
        <f>SUM(Table341011121318[[#This Row],[  5-11]:[  90+]])</f>
        <v>2273</v>
      </c>
      <c r="D40" s="5">
        <v>397</v>
      </c>
      <c r="E40" s="5">
        <v>293</v>
      </c>
      <c r="F40" s="5">
        <v>264</v>
      </c>
      <c r="G40" s="5">
        <v>175</v>
      </c>
      <c r="H40" s="5">
        <v>168</v>
      </c>
      <c r="I40" s="5">
        <v>112</v>
      </c>
      <c r="J40" s="5">
        <v>128</v>
      </c>
      <c r="K40" s="5">
        <v>155</v>
      </c>
      <c r="L40" s="5">
        <v>162</v>
      </c>
      <c r="M40" s="5">
        <v>126</v>
      </c>
      <c r="N40" s="5">
        <v>101</v>
      </c>
      <c r="O40" s="5">
        <v>79</v>
      </c>
      <c r="P40" s="5">
        <v>60</v>
      </c>
      <c r="Q40" s="5">
        <v>26</v>
      </c>
      <c r="R40" s="5">
        <v>18</v>
      </c>
      <c r="S40" s="5">
        <v>9</v>
      </c>
    </row>
    <row r="41" spans="1:20" x14ac:dyDescent="0.2">
      <c r="A41" s="9" t="s">
        <v>14</v>
      </c>
      <c r="B41" s="6" t="s">
        <v>22</v>
      </c>
      <c r="C41" s="5">
        <f>SUM(Table341011121318[[#This Row],[  5-11]:[  90+]])</f>
        <v>30151</v>
      </c>
      <c r="D41" s="5">
        <v>4968</v>
      </c>
      <c r="E41" s="5">
        <v>3847</v>
      </c>
      <c r="F41" s="5">
        <v>4610</v>
      </c>
      <c r="G41" s="5">
        <v>2524</v>
      </c>
      <c r="H41" s="5">
        <v>2417</v>
      </c>
      <c r="I41" s="5">
        <v>1910</v>
      </c>
      <c r="J41" s="5">
        <v>1686</v>
      </c>
      <c r="K41" s="5">
        <v>1627</v>
      </c>
      <c r="L41" s="5">
        <v>1668</v>
      </c>
      <c r="M41" s="5">
        <v>1524</v>
      </c>
      <c r="N41" s="5">
        <v>1223</v>
      </c>
      <c r="O41" s="5">
        <v>821</v>
      </c>
      <c r="P41" s="5">
        <v>644</v>
      </c>
      <c r="Q41" s="5">
        <v>324</v>
      </c>
      <c r="R41" s="5">
        <v>219</v>
      </c>
      <c r="S41" s="5">
        <v>104</v>
      </c>
      <c r="T41" s="5">
        <v>35</v>
      </c>
    </row>
    <row r="42" spans="1:20" x14ac:dyDescent="0.2">
      <c r="A42" s="9" t="s">
        <v>14</v>
      </c>
      <c r="B42" s="6" t="s">
        <v>0</v>
      </c>
      <c r="C42" s="5">
        <f>SUM(Table341011121318[[#This Row],[  5-11]:[  90+]])</f>
        <v>15006</v>
      </c>
      <c r="D42" s="5">
        <v>2543</v>
      </c>
      <c r="E42" s="5">
        <v>2080</v>
      </c>
      <c r="F42" s="5">
        <v>2270</v>
      </c>
      <c r="G42" s="5">
        <v>1307</v>
      </c>
      <c r="H42" s="5">
        <v>1244</v>
      </c>
      <c r="I42" s="5">
        <v>969</v>
      </c>
      <c r="J42" s="5">
        <v>819</v>
      </c>
      <c r="K42" s="5">
        <v>781</v>
      </c>
      <c r="L42" s="5">
        <v>714</v>
      </c>
      <c r="M42" s="5">
        <v>677</v>
      </c>
      <c r="N42" s="5">
        <v>555</v>
      </c>
      <c r="O42" s="5">
        <v>410</v>
      </c>
      <c r="P42" s="5">
        <v>299</v>
      </c>
      <c r="Q42" s="5">
        <v>156</v>
      </c>
      <c r="R42" s="5">
        <v>119</v>
      </c>
      <c r="S42" s="5">
        <v>51</v>
      </c>
      <c r="T42" s="5">
        <v>12</v>
      </c>
    </row>
    <row r="43" spans="1:20" x14ac:dyDescent="0.2">
      <c r="A43" s="9" t="s">
        <v>14</v>
      </c>
      <c r="B43" s="6" t="s">
        <v>23</v>
      </c>
      <c r="C43" s="5">
        <f>SUM(Table341011121318[[#This Row],[  5-11]:[  90+]])</f>
        <v>15145</v>
      </c>
      <c r="D43" s="5">
        <v>2425</v>
      </c>
      <c r="E43" s="5">
        <v>1767</v>
      </c>
      <c r="F43" s="5">
        <v>2340</v>
      </c>
      <c r="G43" s="5">
        <v>1217</v>
      </c>
      <c r="H43" s="5">
        <v>1173</v>
      </c>
      <c r="I43" s="5">
        <v>941</v>
      </c>
      <c r="J43" s="5">
        <v>867</v>
      </c>
      <c r="K43" s="5">
        <v>846</v>
      </c>
      <c r="L43" s="5">
        <v>954</v>
      </c>
      <c r="M43" s="5">
        <v>847</v>
      </c>
      <c r="N43" s="5">
        <v>668</v>
      </c>
      <c r="O43" s="5">
        <v>411</v>
      </c>
      <c r="P43" s="5">
        <v>345</v>
      </c>
      <c r="Q43" s="5">
        <v>168</v>
      </c>
      <c r="R43" s="5">
        <v>100</v>
      </c>
      <c r="S43" s="5">
        <v>53</v>
      </c>
      <c r="T43" s="5">
        <v>23</v>
      </c>
    </row>
    <row r="44" spans="1:20" x14ac:dyDescent="0.2">
      <c r="A44" s="9" t="s">
        <v>15</v>
      </c>
      <c r="B44" s="6" t="s">
        <v>22</v>
      </c>
      <c r="C44" s="5">
        <f>SUM(Table341011121318[[#This Row],[  5-11]:[  90+]])</f>
        <v>24448</v>
      </c>
      <c r="D44" s="5">
        <v>3555</v>
      </c>
      <c r="E44" s="5">
        <v>3159</v>
      </c>
      <c r="F44" s="5">
        <v>2912</v>
      </c>
      <c r="G44" s="5">
        <v>1925</v>
      </c>
      <c r="H44" s="5">
        <v>1857</v>
      </c>
      <c r="I44" s="5">
        <v>1453</v>
      </c>
      <c r="J44" s="5">
        <v>1406</v>
      </c>
      <c r="K44" s="5">
        <v>1471</v>
      </c>
      <c r="L44" s="5">
        <v>1504</v>
      </c>
      <c r="M44" s="5">
        <v>1379</v>
      </c>
      <c r="N44" s="5">
        <v>1358</v>
      </c>
      <c r="O44" s="5">
        <v>1050</v>
      </c>
      <c r="P44" s="5">
        <v>703</v>
      </c>
      <c r="Q44" s="5">
        <v>378</v>
      </c>
      <c r="R44" s="5">
        <v>207</v>
      </c>
      <c r="S44" s="5">
        <v>91</v>
      </c>
      <c r="T44" s="5">
        <v>40</v>
      </c>
    </row>
    <row r="45" spans="1:20" x14ac:dyDescent="0.2">
      <c r="A45" s="9" t="s">
        <v>15</v>
      </c>
      <c r="B45" s="6" t="s">
        <v>0</v>
      </c>
      <c r="C45" s="5">
        <f>SUM(Table341011121318[[#This Row],[  5-11]:[  90+]])</f>
        <v>11800</v>
      </c>
      <c r="D45" s="5">
        <v>1778</v>
      </c>
      <c r="E45" s="5">
        <v>1648</v>
      </c>
      <c r="F45" s="5">
        <v>1490</v>
      </c>
      <c r="G45" s="5">
        <v>939</v>
      </c>
      <c r="H45" s="5">
        <v>892</v>
      </c>
      <c r="I45" s="5">
        <v>654</v>
      </c>
      <c r="J45" s="5">
        <v>655</v>
      </c>
      <c r="K45" s="5">
        <v>695</v>
      </c>
      <c r="L45" s="5">
        <v>684</v>
      </c>
      <c r="M45" s="5">
        <v>619</v>
      </c>
      <c r="N45" s="5">
        <v>621</v>
      </c>
      <c r="O45" s="5">
        <v>523</v>
      </c>
      <c r="P45" s="5">
        <v>328</v>
      </c>
      <c r="Q45" s="5">
        <v>154</v>
      </c>
      <c r="R45" s="5">
        <v>73</v>
      </c>
      <c r="S45" s="5">
        <v>34</v>
      </c>
      <c r="T45" s="5">
        <v>13</v>
      </c>
    </row>
    <row r="46" spans="1:20" x14ac:dyDescent="0.2">
      <c r="A46" s="9" t="s">
        <v>15</v>
      </c>
      <c r="B46" s="6" t="s">
        <v>23</v>
      </c>
      <c r="C46" s="5">
        <f>SUM(Table341011121318[[#This Row],[  5-11]:[  90+]])</f>
        <v>12648</v>
      </c>
      <c r="D46" s="5">
        <v>1777</v>
      </c>
      <c r="E46" s="5">
        <v>1511</v>
      </c>
      <c r="F46" s="5">
        <v>1422</v>
      </c>
      <c r="G46" s="5">
        <v>986</v>
      </c>
      <c r="H46" s="5">
        <v>965</v>
      </c>
      <c r="I46" s="5">
        <v>799</v>
      </c>
      <c r="J46" s="5">
        <v>751</v>
      </c>
      <c r="K46" s="5">
        <v>776</v>
      </c>
      <c r="L46" s="5">
        <v>820</v>
      </c>
      <c r="M46" s="5">
        <v>760</v>
      </c>
      <c r="N46" s="5">
        <v>737</v>
      </c>
      <c r="O46" s="5">
        <v>527</v>
      </c>
      <c r="P46" s="5">
        <v>375</v>
      </c>
      <c r="Q46" s="5">
        <v>224</v>
      </c>
      <c r="R46" s="5">
        <v>134</v>
      </c>
      <c r="S46" s="5">
        <v>57</v>
      </c>
      <c r="T46" s="5">
        <v>27</v>
      </c>
    </row>
    <row r="47" spans="1:20" x14ac:dyDescent="0.2">
      <c r="A47" s="9" t="s">
        <v>16</v>
      </c>
      <c r="B47" s="6" t="s">
        <v>22</v>
      </c>
      <c r="C47" s="5">
        <f>SUM(Table341011121318[[#This Row],[  5-11]:[  90+]])</f>
        <v>21081</v>
      </c>
      <c r="D47" s="5">
        <v>3924</v>
      </c>
      <c r="E47" s="5">
        <v>2843</v>
      </c>
      <c r="F47" s="5">
        <v>2454</v>
      </c>
      <c r="G47" s="5">
        <v>1645</v>
      </c>
      <c r="H47" s="5">
        <v>1655</v>
      </c>
      <c r="I47" s="5">
        <v>1321</v>
      </c>
      <c r="J47" s="5">
        <v>1208</v>
      </c>
      <c r="K47" s="5">
        <v>1242</v>
      </c>
      <c r="L47" s="5">
        <v>1200</v>
      </c>
      <c r="M47" s="5">
        <v>1079</v>
      </c>
      <c r="N47" s="5">
        <v>938</v>
      </c>
      <c r="O47" s="5">
        <v>677</v>
      </c>
      <c r="P47" s="5">
        <v>440</v>
      </c>
      <c r="Q47" s="5">
        <v>239</v>
      </c>
      <c r="R47" s="5">
        <v>151</v>
      </c>
      <c r="S47" s="5">
        <v>51</v>
      </c>
      <c r="T47" s="5">
        <v>14</v>
      </c>
    </row>
    <row r="48" spans="1:20" x14ac:dyDescent="0.2">
      <c r="A48" s="9" t="s">
        <v>16</v>
      </c>
      <c r="B48" s="6" t="s">
        <v>0</v>
      </c>
      <c r="C48" s="5">
        <f>SUM(Table341011121318[[#This Row],[  5-11]:[  90+]])</f>
        <v>10180</v>
      </c>
      <c r="D48" s="5">
        <v>1996</v>
      </c>
      <c r="E48" s="5">
        <v>1491</v>
      </c>
      <c r="F48" s="5">
        <v>1254</v>
      </c>
      <c r="G48" s="5">
        <v>810</v>
      </c>
      <c r="H48" s="5">
        <v>782</v>
      </c>
      <c r="I48" s="5">
        <v>592</v>
      </c>
      <c r="J48" s="5">
        <v>573</v>
      </c>
      <c r="K48" s="5">
        <v>548</v>
      </c>
      <c r="L48" s="5">
        <v>522</v>
      </c>
      <c r="M48" s="5">
        <v>505</v>
      </c>
      <c r="N48" s="5">
        <v>411</v>
      </c>
      <c r="O48" s="5">
        <v>301</v>
      </c>
      <c r="P48" s="5">
        <v>209</v>
      </c>
      <c r="Q48" s="5">
        <v>102</v>
      </c>
      <c r="R48" s="5">
        <v>62</v>
      </c>
      <c r="S48" s="5">
        <v>22</v>
      </c>
    </row>
    <row r="49" spans="1:21" x14ac:dyDescent="0.2">
      <c r="A49" s="9" t="s">
        <v>16</v>
      </c>
      <c r="B49" s="6" t="s">
        <v>23</v>
      </c>
      <c r="C49" s="5">
        <f>SUM(Table341011121318[[#This Row],[  5-11]:[  90+]])</f>
        <v>10901</v>
      </c>
      <c r="D49" s="5">
        <v>1928</v>
      </c>
      <c r="E49" s="5">
        <v>1352</v>
      </c>
      <c r="F49" s="5">
        <v>1200</v>
      </c>
      <c r="G49" s="5">
        <v>835</v>
      </c>
      <c r="H49" s="5">
        <v>873</v>
      </c>
      <c r="I49" s="5">
        <v>729</v>
      </c>
      <c r="J49" s="5">
        <v>635</v>
      </c>
      <c r="K49" s="5">
        <v>694</v>
      </c>
      <c r="L49" s="5">
        <v>678</v>
      </c>
      <c r="M49" s="5">
        <v>574</v>
      </c>
      <c r="N49" s="5">
        <v>527</v>
      </c>
      <c r="O49" s="5">
        <v>376</v>
      </c>
      <c r="P49" s="5">
        <v>231</v>
      </c>
      <c r="Q49" s="5">
        <v>137</v>
      </c>
      <c r="R49" s="5">
        <v>89</v>
      </c>
      <c r="S49" s="5">
        <v>29</v>
      </c>
      <c r="T49" s="5">
        <v>14</v>
      </c>
    </row>
    <row r="50" spans="1:21" x14ac:dyDescent="0.2">
      <c r="A50" s="11" t="s">
        <v>17</v>
      </c>
      <c r="B50" s="6" t="s">
        <v>22</v>
      </c>
      <c r="C50" s="5">
        <f>SUM(Table341011121318[[#This Row],[  5-11]:[  90+]])</f>
        <v>89349</v>
      </c>
      <c r="D50" s="5">
        <v>14906</v>
      </c>
      <c r="E50" s="5">
        <v>11442</v>
      </c>
      <c r="F50" s="5">
        <v>11810</v>
      </c>
      <c r="G50" s="5">
        <v>7730</v>
      </c>
      <c r="H50" s="5">
        <v>7212</v>
      </c>
      <c r="I50" s="5">
        <v>5678</v>
      </c>
      <c r="J50" s="5">
        <v>5271</v>
      </c>
      <c r="K50" s="5">
        <v>5097</v>
      </c>
      <c r="L50" s="5">
        <v>5000</v>
      </c>
      <c r="M50" s="5">
        <v>4696</v>
      </c>
      <c r="N50" s="5">
        <v>3916</v>
      </c>
      <c r="O50" s="5">
        <v>2859</v>
      </c>
      <c r="P50" s="5">
        <v>1832</v>
      </c>
      <c r="Q50" s="5">
        <v>1030</v>
      </c>
      <c r="R50" s="5">
        <v>547</v>
      </c>
      <c r="S50" s="5">
        <v>227</v>
      </c>
      <c r="T50" s="5">
        <v>96</v>
      </c>
    </row>
    <row r="51" spans="1:21" x14ac:dyDescent="0.2">
      <c r="A51" s="11" t="s">
        <v>17</v>
      </c>
      <c r="B51" s="6" t="s">
        <v>0</v>
      </c>
      <c r="C51" s="5">
        <f>SUM(Table341011121318[[#This Row],[  5-11]:[  90+]])</f>
        <v>43269</v>
      </c>
      <c r="D51" s="5">
        <v>7763</v>
      </c>
      <c r="E51" s="5">
        <v>5799</v>
      </c>
      <c r="F51" s="5">
        <v>5898</v>
      </c>
      <c r="G51" s="5">
        <v>3828</v>
      </c>
      <c r="H51" s="5">
        <v>3429</v>
      </c>
      <c r="I51" s="5">
        <v>2688</v>
      </c>
      <c r="J51" s="5">
        <v>2496</v>
      </c>
      <c r="K51" s="5">
        <v>2364</v>
      </c>
      <c r="L51" s="5">
        <v>2300</v>
      </c>
      <c r="M51" s="5">
        <v>2159</v>
      </c>
      <c r="N51" s="5">
        <v>1722</v>
      </c>
      <c r="O51" s="5">
        <v>1266</v>
      </c>
      <c r="P51" s="5">
        <v>785</v>
      </c>
      <c r="Q51" s="5">
        <v>445</v>
      </c>
      <c r="R51" s="5">
        <v>225</v>
      </c>
      <c r="S51" s="5">
        <v>78</v>
      </c>
      <c r="T51" s="5">
        <v>24</v>
      </c>
    </row>
    <row r="52" spans="1:21" x14ac:dyDescent="0.2">
      <c r="A52" s="11" t="s">
        <v>17</v>
      </c>
      <c r="B52" s="6" t="s">
        <v>23</v>
      </c>
      <c r="C52" s="5">
        <f>SUM(Table341011121318[[#This Row],[  5-11]:[  90+]])</f>
        <v>46080</v>
      </c>
      <c r="D52" s="5">
        <v>7143</v>
      </c>
      <c r="E52" s="5">
        <v>5643</v>
      </c>
      <c r="F52" s="5">
        <v>5912</v>
      </c>
      <c r="G52" s="5">
        <v>3902</v>
      </c>
      <c r="H52" s="5">
        <v>3783</v>
      </c>
      <c r="I52" s="5">
        <v>2990</v>
      </c>
      <c r="J52" s="5">
        <v>2775</v>
      </c>
      <c r="K52" s="5">
        <v>2733</v>
      </c>
      <c r="L52" s="5">
        <v>2700</v>
      </c>
      <c r="M52" s="5">
        <v>2537</v>
      </c>
      <c r="N52" s="5">
        <v>2194</v>
      </c>
      <c r="O52" s="5">
        <v>1593</v>
      </c>
      <c r="P52" s="5">
        <v>1047</v>
      </c>
      <c r="Q52" s="5">
        <v>585</v>
      </c>
      <c r="R52" s="5">
        <v>322</v>
      </c>
      <c r="S52" s="5">
        <v>149</v>
      </c>
      <c r="T52" s="5">
        <v>72</v>
      </c>
    </row>
    <row r="53" spans="1:21" x14ac:dyDescent="0.2">
      <c r="A53" s="9" t="s">
        <v>18</v>
      </c>
      <c r="B53" s="6" t="s">
        <v>22</v>
      </c>
      <c r="C53" s="5">
        <f>SUM(Table341011121318[[#This Row],[  5-11]:[  90+]])</f>
        <v>8036</v>
      </c>
      <c r="D53" s="5">
        <v>1319</v>
      </c>
      <c r="E53" s="5">
        <v>1096</v>
      </c>
      <c r="F53" s="5">
        <v>1016</v>
      </c>
      <c r="G53" s="5">
        <v>619</v>
      </c>
      <c r="H53" s="5">
        <v>629</v>
      </c>
      <c r="I53" s="5">
        <v>499</v>
      </c>
      <c r="J53" s="5">
        <v>459</v>
      </c>
      <c r="K53" s="5">
        <v>484</v>
      </c>
      <c r="L53" s="5">
        <v>419</v>
      </c>
      <c r="M53" s="5">
        <v>440</v>
      </c>
      <c r="N53" s="5">
        <v>389</v>
      </c>
      <c r="O53" s="5">
        <v>276</v>
      </c>
      <c r="P53" s="5">
        <v>179</v>
      </c>
      <c r="Q53" s="5">
        <v>116</v>
      </c>
      <c r="R53" s="5">
        <v>58</v>
      </c>
      <c r="S53" s="5">
        <v>30</v>
      </c>
      <c r="T53" s="5">
        <v>8</v>
      </c>
    </row>
    <row r="54" spans="1:21" x14ac:dyDescent="0.2">
      <c r="A54" s="9" t="s">
        <v>18</v>
      </c>
      <c r="B54" s="6" t="s">
        <v>0</v>
      </c>
      <c r="C54" s="5">
        <f>SUM(Table341011121318[[#This Row],[  5-11]:[  90+]])</f>
        <v>3933</v>
      </c>
      <c r="D54" s="5">
        <v>678</v>
      </c>
      <c r="E54" s="5">
        <v>562</v>
      </c>
      <c r="F54" s="5">
        <v>530</v>
      </c>
      <c r="G54" s="5">
        <v>307</v>
      </c>
      <c r="H54" s="5">
        <v>290</v>
      </c>
      <c r="I54" s="5">
        <v>239</v>
      </c>
      <c r="J54" s="5">
        <v>233</v>
      </c>
      <c r="K54" s="5">
        <v>211</v>
      </c>
      <c r="L54" s="5">
        <v>204</v>
      </c>
      <c r="M54" s="5">
        <v>196</v>
      </c>
      <c r="N54" s="5">
        <v>170</v>
      </c>
      <c r="O54" s="5">
        <v>143</v>
      </c>
      <c r="P54" s="5">
        <v>80</v>
      </c>
      <c r="Q54" s="5">
        <v>50</v>
      </c>
      <c r="R54" s="5">
        <v>25</v>
      </c>
      <c r="S54" s="5">
        <v>15</v>
      </c>
    </row>
    <row r="55" spans="1:21" x14ac:dyDescent="0.2">
      <c r="A55" s="9" t="s">
        <v>18</v>
      </c>
      <c r="B55" s="6" t="s">
        <v>23</v>
      </c>
      <c r="C55" s="5">
        <f>SUM(Table341011121318[[#This Row],[  5-11]:[  90+]])</f>
        <v>4103</v>
      </c>
      <c r="D55" s="5">
        <v>641</v>
      </c>
      <c r="E55" s="5">
        <v>534</v>
      </c>
      <c r="F55" s="5">
        <v>486</v>
      </c>
      <c r="G55" s="5">
        <v>312</v>
      </c>
      <c r="H55" s="5">
        <v>339</v>
      </c>
      <c r="I55" s="5">
        <v>260</v>
      </c>
      <c r="J55" s="5">
        <v>226</v>
      </c>
      <c r="K55" s="5">
        <v>273</v>
      </c>
      <c r="L55" s="5">
        <v>215</v>
      </c>
      <c r="M55" s="5">
        <v>244</v>
      </c>
      <c r="N55" s="5">
        <v>219</v>
      </c>
      <c r="O55" s="5">
        <v>133</v>
      </c>
      <c r="P55" s="5">
        <v>99</v>
      </c>
      <c r="Q55" s="5">
        <v>66</v>
      </c>
      <c r="R55" s="5">
        <v>33</v>
      </c>
      <c r="S55" s="5">
        <v>15</v>
      </c>
      <c r="T55" s="5">
        <v>8</v>
      </c>
    </row>
    <row r="56" spans="1:21" x14ac:dyDescent="0.2">
      <c r="A56" s="9" t="s">
        <v>19</v>
      </c>
      <c r="B56" s="6" t="s">
        <v>22</v>
      </c>
      <c r="C56" s="5">
        <f>SUM(Table341011121318[[#This Row],[  5-11]:[  90+]])</f>
        <v>51442</v>
      </c>
      <c r="D56" s="5">
        <v>8308</v>
      </c>
      <c r="E56" s="5">
        <v>6877</v>
      </c>
      <c r="F56" s="5">
        <v>6928</v>
      </c>
      <c r="G56" s="5">
        <v>4898</v>
      </c>
      <c r="H56" s="5">
        <v>4182</v>
      </c>
      <c r="I56" s="5">
        <v>3235</v>
      </c>
      <c r="J56" s="5">
        <v>2999</v>
      </c>
      <c r="K56" s="5">
        <v>3155</v>
      </c>
      <c r="L56" s="5">
        <v>3159</v>
      </c>
      <c r="M56" s="5">
        <v>2641</v>
      </c>
      <c r="N56" s="5">
        <v>2071</v>
      </c>
      <c r="O56" s="5">
        <v>1303</v>
      </c>
      <c r="P56" s="5">
        <v>804</v>
      </c>
      <c r="Q56" s="5">
        <v>466</v>
      </c>
      <c r="R56" s="5">
        <v>274</v>
      </c>
      <c r="S56" s="5">
        <v>100</v>
      </c>
      <c r="T56" s="5">
        <v>42</v>
      </c>
    </row>
    <row r="57" spans="1:21" x14ac:dyDescent="0.2">
      <c r="A57" s="10" t="s">
        <v>19</v>
      </c>
      <c r="B57" s="6" t="s">
        <v>0</v>
      </c>
      <c r="C57" s="5">
        <f>SUM(Table341011121318[[#This Row],[  5-11]:[  90+]])</f>
        <v>25124</v>
      </c>
      <c r="D57" s="5">
        <v>4313</v>
      </c>
      <c r="E57" s="5">
        <v>3554</v>
      </c>
      <c r="F57" s="5">
        <v>3504</v>
      </c>
      <c r="G57" s="5">
        <v>2424</v>
      </c>
      <c r="H57" s="5">
        <v>2077</v>
      </c>
      <c r="I57" s="5">
        <v>1546</v>
      </c>
      <c r="J57" s="5">
        <v>1429</v>
      </c>
      <c r="K57" s="5">
        <v>1452</v>
      </c>
      <c r="L57" s="5">
        <v>1447</v>
      </c>
      <c r="M57" s="5">
        <v>1252</v>
      </c>
      <c r="N57" s="5">
        <v>899</v>
      </c>
      <c r="O57" s="5">
        <v>545</v>
      </c>
      <c r="P57" s="5">
        <v>320</v>
      </c>
      <c r="Q57" s="5">
        <v>210</v>
      </c>
      <c r="R57" s="5">
        <v>106</v>
      </c>
      <c r="S57" s="5">
        <v>38</v>
      </c>
      <c r="T57" s="5">
        <v>8</v>
      </c>
    </row>
    <row r="58" spans="1:21" x14ac:dyDescent="0.2">
      <c r="A58" s="10" t="s">
        <v>19</v>
      </c>
      <c r="B58" s="6" t="s">
        <v>23</v>
      </c>
      <c r="C58" s="5">
        <f>SUM(Table341011121318[[#This Row],[  5-11]:[  90+]])</f>
        <v>26318</v>
      </c>
      <c r="D58" s="5">
        <v>3995</v>
      </c>
      <c r="E58" s="5">
        <v>3323</v>
      </c>
      <c r="F58" s="5">
        <v>3424</v>
      </c>
      <c r="G58" s="5">
        <v>2474</v>
      </c>
      <c r="H58" s="5">
        <v>2105</v>
      </c>
      <c r="I58" s="5">
        <v>1689</v>
      </c>
      <c r="J58" s="5">
        <v>1570</v>
      </c>
      <c r="K58" s="5">
        <v>1703</v>
      </c>
      <c r="L58" s="5">
        <v>1712</v>
      </c>
      <c r="M58" s="5">
        <v>1389</v>
      </c>
      <c r="N58" s="5">
        <v>1172</v>
      </c>
      <c r="O58" s="5">
        <v>758</v>
      </c>
      <c r="P58" s="5">
        <v>484</v>
      </c>
      <c r="Q58" s="5">
        <v>256</v>
      </c>
      <c r="R58" s="5">
        <v>168</v>
      </c>
      <c r="S58" s="5">
        <v>62</v>
      </c>
      <c r="T58" s="5">
        <v>34</v>
      </c>
    </row>
    <row r="59" spans="1:21" x14ac:dyDescent="0.2">
      <c r="A59" s="9" t="s">
        <v>20</v>
      </c>
      <c r="B59" s="6" t="s">
        <v>22</v>
      </c>
      <c r="C59" s="5">
        <f>SUM(Table341011121318[[#This Row],[  5-11]:[  90+]])</f>
        <v>3487</v>
      </c>
      <c r="D59" s="5">
        <v>554</v>
      </c>
      <c r="E59" s="5">
        <v>422</v>
      </c>
      <c r="F59" s="5">
        <v>367</v>
      </c>
      <c r="G59" s="5">
        <v>280</v>
      </c>
      <c r="H59" s="5">
        <v>273</v>
      </c>
      <c r="I59" s="5">
        <v>179</v>
      </c>
      <c r="J59" s="5">
        <v>194</v>
      </c>
      <c r="K59" s="5">
        <v>213</v>
      </c>
      <c r="L59" s="5">
        <v>208</v>
      </c>
      <c r="M59" s="5">
        <v>266</v>
      </c>
      <c r="N59" s="5">
        <v>229</v>
      </c>
      <c r="O59" s="5">
        <v>124</v>
      </c>
      <c r="P59" s="5">
        <v>95</v>
      </c>
      <c r="Q59" s="5">
        <v>50</v>
      </c>
      <c r="R59" s="5">
        <v>27</v>
      </c>
      <c r="S59" s="5">
        <v>6</v>
      </c>
    </row>
    <row r="60" spans="1:21" x14ac:dyDescent="0.2">
      <c r="A60" s="9" t="s">
        <v>20</v>
      </c>
      <c r="B60" s="6" t="s">
        <v>0</v>
      </c>
      <c r="C60" s="5">
        <f>SUM(Table341011121318[[#This Row],[  5-11]:[  90+]])</f>
        <v>1761</v>
      </c>
      <c r="D60" s="5">
        <v>297</v>
      </c>
      <c r="E60" s="5">
        <v>249</v>
      </c>
      <c r="F60" s="5">
        <v>195</v>
      </c>
      <c r="G60" s="5">
        <v>135</v>
      </c>
      <c r="H60" s="5">
        <v>143</v>
      </c>
      <c r="I60" s="5">
        <v>90</v>
      </c>
      <c r="J60" s="5">
        <v>96</v>
      </c>
      <c r="K60" s="5">
        <v>88</v>
      </c>
      <c r="L60" s="5">
        <v>93</v>
      </c>
      <c r="M60" s="5">
        <v>121</v>
      </c>
      <c r="N60" s="5">
        <v>111</v>
      </c>
      <c r="O60" s="5">
        <v>59</v>
      </c>
      <c r="P60" s="5">
        <v>46</v>
      </c>
      <c r="Q60" s="5">
        <v>21</v>
      </c>
      <c r="R60" s="5">
        <v>11</v>
      </c>
      <c r="S60" s="5">
        <v>6</v>
      </c>
    </row>
    <row r="61" spans="1:21" x14ac:dyDescent="0.2">
      <c r="A61" s="9" t="s">
        <v>20</v>
      </c>
      <c r="B61" s="6" t="s">
        <v>23</v>
      </c>
      <c r="C61" s="5">
        <f>SUM(Table341011121318[[#This Row],[  5-11]:[  90+]])</f>
        <v>1726</v>
      </c>
      <c r="D61" s="5">
        <v>257</v>
      </c>
      <c r="E61" s="5">
        <v>173</v>
      </c>
      <c r="F61" s="5">
        <v>172</v>
      </c>
      <c r="G61" s="5">
        <v>145</v>
      </c>
      <c r="H61" s="5">
        <v>130</v>
      </c>
      <c r="I61" s="5">
        <v>89</v>
      </c>
      <c r="J61" s="5">
        <v>98</v>
      </c>
      <c r="K61" s="5">
        <v>125</v>
      </c>
      <c r="L61" s="5">
        <v>115</v>
      </c>
      <c r="M61" s="5">
        <v>145</v>
      </c>
      <c r="N61" s="5">
        <v>118</v>
      </c>
      <c r="O61" s="5">
        <v>65</v>
      </c>
      <c r="P61" s="5">
        <v>49</v>
      </c>
      <c r="Q61" s="5">
        <v>29</v>
      </c>
      <c r="R61" s="5">
        <v>16</v>
      </c>
    </row>
    <row r="62" spans="1:21" x14ac:dyDescent="0.2">
      <c r="A62" s="13" t="s">
        <v>21</v>
      </c>
      <c r="B62" s="6" t="s">
        <v>22</v>
      </c>
      <c r="C62" s="5">
        <f>SUM(Table341011121318[[#This Row],[  5-11]:[  90+]])</f>
        <v>16975</v>
      </c>
      <c r="D62" s="5">
        <v>2802</v>
      </c>
      <c r="E62" s="5">
        <v>2116</v>
      </c>
      <c r="F62" s="5">
        <v>2004</v>
      </c>
      <c r="G62" s="5">
        <v>1371</v>
      </c>
      <c r="H62" s="5">
        <v>1310</v>
      </c>
      <c r="I62" s="5">
        <v>1044</v>
      </c>
      <c r="J62" s="5">
        <v>924</v>
      </c>
      <c r="K62" s="5">
        <v>1006</v>
      </c>
      <c r="L62" s="5">
        <v>1036</v>
      </c>
      <c r="M62" s="5">
        <v>964</v>
      </c>
      <c r="N62" s="5">
        <v>844</v>
      </c>
      <c r="O62" s="5">
        <v>634</v>
      </c>
      <c r="P62" s="5">
        <v>449</v>
      </c>
      <c r="Q62" s="5">
        <v>251</v>
      </c>
      <c r="R62" s="5">
        <v>137</v>
      </c>
      <c r="S62" s="5">
        <v>57</v>
      </c>
      <c r="T62" s="5">
        <v>26</v>
      </c>
      <c r="U62" s="7"/>
    </row>
    <row r="63" spans="1:21" x14ac:dyDescent="0.2">
      <c r="A63" s="10" t="s">
        <v>21</v>
      </c>
      <c r="B63" s="6" t="s">
        <v>0</v>
      </c>
      <c r="C63" s="5">
        <f>SUM(Table341011121318[[#This Row],[  5-11]:[  90+]])</f>
        <v>8162</v>
      </c>
      <c r="D63" s="5">
        <v>1440</v>
      </c>
      <c r="E63" s="5">
        <v>1088</v>
      </c>
      <c r="F63" s="5">
        <v>1018</v>
      </c>
      <c r="G63" s="5">
        <v>650</v>
      </c>
      <c r="H63" s="5">
        <v>631</v>
      </c>
      <c r="I63" s="5">
        <v>465</v>
      </c>
      <c r="J63" s="5">
        <v>462</v>
      </c>
      <c r="K63" s="5">
        <v>444</v>
      </c>
      <c r="L63" s="5">
        <v>464</v>
      </c>
      <c r="M63" s="5">
        <v>453</v>
      </c>
      <c r="N63" s="5">
        <v>363</v>
      </c>
      <c r="O63" s="5">
        <v>287</v>
      </c>
      <c r="P63" s="5">
        <v>199</v>
      </c>
      <c r="Q63" s="5">
        <v>110</v>
      </c>
      <c r="R63" s="5">
        <v>58</v>
      </c>
      <c r="S63" s="5">
        <v>19</v>
      </c>
      <c r="T63" s="5">
        <v>11</v>
      </c>
    </row>
    <row r="64" spans="1:21" x14ac:dyDescent="0.2">
      <c r="A64" s="10" t="s">
        <v>21</v>
      </c>
      <c r="B64" s="6" t="s">
        <v>23</v>
      </c>
      <c r="C64" s="5">
        <f>SUM(Table341011121318[[#This Row],[  5-11]:[  90+]])</f>
        <v>8813</v>
      </c>
      <c r="D64" s="5">
        <v>1362</v>
      </c>
      <c r="E64" s="5">
        <v>1028</v>
      </c>
      <c r="F64" s="5">
        <v>986</v>
      </c>
      <c r="G64" s="5">
        <v>721</v>
      </c>
      <c r="H64" s="5">
        <v>679</v>
      </c>
      <c r="I64" s="5">
        <v>579</v>
      </c>
      <c r="J64" s="5">
        <v>462</v>
      </c>
      <c r="K64" s="5">
        <v>562</v>
      </c>
      <c r="L64" s="5">
        <v>572</v>
      </c>
      <c r="M64" s="5">
        <v>511</v>
      </c>
      <c r="N64" s="5">
        <v>481</v>
      </c>
      <c r="O64" s="5">
        <v>347</v>
      </c>
      <c r="P64" s="5">
        <v>250</v>
      </c>
      <c r="Q64" s="5">
        <v>141</v>
      </c>
      <c r="R64" s="5">
        <v>79</v>
      </c>
      <c r="S64" s="5">
        <v>38</v>
      </c>
      <c r="T64" s="5">
        <v>15</v>
      </c>
    </row>
    <row r="65" spans="1:20" x14ac:dyDescent="0.2">
      <c r="A65" s="13" t="s">
        <v>22</v>
      </c>
      <c r="B65" s="6" t="s">
        <v>22</v>
      </c>
      <c r="C65" s="5">
        <f>SUM(Table341011121318[[#This Row],[  5-11]:[  90+]])</f>
        <v>723612</v>
      </c>
      <c r="D65" s="5">
        <v>116382</v>
      </c>
      <c r="E65" s="5">
        <v>92821</v>
      </c>
      <c r="F65" s="5">
        <v>94368</v>
      </c>
      <c r="G65" s="5">
        <v>63181</v>
      </c>
      <c r="H65" s="5">
        <v>58429</v>
      </c>
      <c r="I65" s="5">
        <v>44994</v>
      </c>
      <c r="J65" s="5">
        <v>41818</v>
      </c>
      <c r="K65" s="5">
        <v>42850</v>
      </c>
      <c r="L65" s="5">
        <v>42786</v>
      </c>
      <c r="M65" s="5">
        <v>38895</v>
      </c>
      <c r="N65" s="5">
        <v>32840</v>
      </c>
      <c r="O65" s="5">
        <v>22825</v>
      </c>
      <c r="P65" s="5">
        <v>15414</v>
      </c>
      <c r="Q65" s="5">
        <v>8484</v>
      </c>
      <c r="R65" s="5">
        <v>4839</v>
      </c>
      <c r="S65" s="5">
        <v>1964</v>
      </c>
      <c r="T65" s="5">
        <v>722</v>
      </c>
    </row>
    <row r="66" spans="1:20" x14ac:dyDescent="0.2">
      <c r="A66" s="10" t="s">
        <v>22</v>
      </c>
      <c r="B66" s="6" t="s">
        <v>0</v>
      </c>
      <c r="C66" s="5">
        <f>SUM(Table341011121318[[#This Row],[  5-11]:[  90+]])</f>
        <v>352363</v>
      </c>
      <c r="D66" s="5">
        <v>60084</v>
      </c>
      <c r="E66" s="5">
        <v>47818</v>
      </c>
      <c r="F66" s="5">
        <v>47370</v>
      </c>
      <c r="G66" s="5">
        <v>31203</v>
      </c>
      <c r="H66" s="5">
        <v>28202</v>
      </c>
      <c r="I66" s="5">
        <v>21395</v>
      </c>
      <c r="J66" s="5">
        <v>19958</v>
      </c>
      <c r="K66" s="5">
        <v>19947</v>
      </c>
      <c r="L66" s="5">
        <v>19740</v>
      </c>
      <c r="M66" s="5">
        <v>18032</v>
      </c>
      <c r="N66" s="5">
        <v>14841</v>
      </c>
      <c r="O66" s="5">
        <v>10255</v>
      </c>
      <c r="P66" s="5">
        <v>6866</v>
      </c>
      <c r="Q66" s="5">
        <v>3729</v>
      </c>
      <c r="R66" s="5">
        <v>1992</v>
      </c>
      <c r="S66" s="5">
        <v>744</v>
      </c>
      <c r="T66" s="5">
        <v>187</v>
      </c>
    </row>
    <row r="67" spans="1:20" x14ac:dyDescent="0.2">
      <c r="A67" s="10" t="s">
        <v>22</v>
      </c>
      <c r="B67" s="6" t="s">
        <v>23</v>
      </c>
      <c r="C67" s="5">
        <f>SUM(Table341011121318[[#This Row],[  5-11]:[  90+]])</f>
        <v>371249</v>
      </c>
      <c r="D67" s="5">
        <v>56298</v>
      </c>
      <c r="E67" s="5">
        <v>45003</v>
      </c>
      <c r="F67" s="5">
        <v>46998</v>
      </c>
      <c r="G67" s="5">
        <v>31978</v>
      </c>
      <c r="H67" s="5">
        <v>30227</v>
      </c>
      <c r="I67" s="5">
        <v>23599</v>
      </c>
      <c r="J67" s="5">
        <v>21860</v>
      </c>
      <c r="K67" s="5">
        <v>22903</v>
      </c>
      <c r="L67" s="5">
        <v>23046</v>
      </c>
      <c r="M67" s="5">
        <v>20863</v>
      </c>
      <c r="N67" s="5">
        <v>17999</v>
      </c>
      <c r="O67" s="5">
        <v>12570</v>
      </c>
      <c r="P67" s="5">
        <v>8548</v>
      </c>
      <c r="Q67" s="5">
        <v>4755</v>
      </c>
      <c r="R67" s="5">
        <v>2847</v>
      </c>
      <c r="S67" s="5">
        <v>1220</v>
      </c>
      <c r="T67" s="5">
        <v>535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2E02-957C-CA48-92DD-5845F18B8481}">
  <dimension ref="A1:T67"/>
  <sheetViews>
    <sheetView zoomScale="112" zoomScaleNormal="150" workbookViewId="0">
      <selection activeCell="F11" sqref="F11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Table34101112131814[[#This Row],[Total]]-Table341011121318[[#This Row],[Total]]</f>
        <v>458674</v>
      </c>
      <c r="D2" s="5">
        <f>Table34101112131814[[#This Row],[  5-11]]-Table341011121318[[#This Row],[  5-11]]</f>
        <v>35383</v>
      </c>
      <c r="E2" s="5">
        <f>Table34101112131814[[#This Row],[  12-17]]-Table341011121318[[#This Row],[  12-17]]</f>
        <v>31194</v>
      </c>
      <c r="F2" s="5">
        <f>Table34101112131814[[#This Row],[  18-24]]-Table341011121318[[#This Row],[  18-24]]</f>
        <v>45392</v>
      </c>
      <c r="G2" s="5">
        <f>Table34101112131814[[#This Row],[  25-29 ]]-Table341011121318[[#This Row],[  25-29 ]]</f>
        <v>47712</v>
      </c>
      <c r="H2" s="5">
        <f>Table34101112131814[[#This Row],[  30-34]]-Table341011121318[[#This Row],[  30-34]]</f>
        <v>48460</v>
      </c>
      <c r="I2" s="5">
        <f>Table34101112131814[[#This Row],[  35-39]]-Table341011121318[[#This Row],[  35-39]]</f>
        <v>39693</v>
      </c>
      <c r="J2" s="5">
        <f>Table34101112131814[[#This Row],[  40-44]]-Table341011121318[[#This Row],[  40-44]]</f>
        <v>33080</v>
      </c>
      <c r="K2" s="5">
        <f>Table34101112131814[[#This Row],[  45-49 ]]-Table341011121318[[#This Row],[  45-49 ]]</f>
        <v>30920</v>
      </c>
      <c r="L2" s="5">
        <f>Table34101112131814[[#This Row],[  50-54]]-Table341011121318[[#This Row],[  50-54]]</f>
        <v>30545</v>
      </c>
      <c r="M2" s="5">
        <f>Table34101112131814[[#This Row],[  55-59]]-Table341011121318[[#This Row],[  55-59]]</f>
        <v>28383</v>
      </c>
      <c r="N2" s="5">
        <f>Table34101112131814[[#This Row],[  60-64]]-Table341011121318[[#This Row],[  60-64]]</f>
        <v>24525</v>
      </c>
      <c r="O2" s="5">
        <f>Table34101112131814[[#This Row],[  65-69]]-Table341011121318[[#This Row],[  65-69]]</f>
        <v>20514</v>
      </c>
      <c r="P2" s="5">
        <f>Table34101112131814[[#This Row],[  70-74]]-Table341011121318[[#This Row],[  70-74]]</f>
        <v>16308</v>
      </c>
      <c r="Q2" s="5">
        <f>Table34101112131814[[#This Row],[  75-79]]-Table341011121318[[#This Row],[  75-79]]</f>
        <v>11157</v>
      </c>
      <c r="R2" s="5">
        <f>Table34101112131814[[#This Row],[  80-84]]-Table341011121318[[#This Row],[  80-84]]</f>
        <v>7980</v>
      </c>
      <c r="S2" s="5">
        <f>Table34101112131814[[#This Row],[  85-89]]-Table341011121318[[#This Row],[  85-89]]</f>
        <v>4462</v>
      </c>
      <c r="T2" s="5">
        <f>Table34101112131814[[#This Row],[  90+]]-Table341011121318[[#This Row],[  90+]]</f>
        <v>2966</v>
      </c>
    </row>
    <row r="3" spans="1:20" x14ac:dyDescent="0.2">
      <c r="A3" s="9" t="s">
        <v>1</v>
      </c>
      <c r="B3" s="6" t="s">
        <v>0</v>
      </c>
      <c r="C3" s="5">
        <f>Table34101112131814[[#This Row],[Total]]-Table341011121318[[#This Row],[Total]]</f>
        <v>228487</v>
      </c>
      <c r="D3" s="5">
        <f>Table34101112131814[[#This Row],[  5-11]]-Table341011121318[[#This Row],[  5-11]]</f>
        <v>18126</v>
      </c>
      <c r="E3" s="5">
        <f>Table34101112131814[[#This Row],[  12-17]]-Table341011121318[[#This Row],[  12-17]]</f>
        <v>15912</v>
      </c>
      <c r="F3" s="5">
        <f>Table34101112131814[[#This Row],[  18-24]]-Table341011121318[[#This Row],[  18-24]]</f>
        <v>22413</v>
      </c>
      <c r="G3" s="5">
        <f>Table34101112131814[[#This Row],[  25-29 ]]-Table341011121318[[#This Row],[  25-29 ]]</f>
        <v>24191</v>
      </c>
      <c r="H3" s="5">
        <f>Table34101112131814[[#This Row],[  30-34]]-Table341011121318[[#This Row],[  30-34]]</f>
        <v>24457</v>
      </c>
      <c r="I3" s="5">
        <f>Table34101112131814[[#This Row],[  35-39]]-Table341011121318[[#This Row],[  35-39]]</f>
        <v>20221</v>
      </c>
      <c r="J3" s="5">
        <f>Table34101112131814[[#This Row],[  40-44]]-Table341011121318[[#This Row],[  40-44]]</f>
        <v>16729</v>
      </c>
      <c r="K3" s="5">
        <f>Table34101112131814[[#This Row],[  45-49 ]]-Table341011121318[[#This Row],[  45-49 ]]</f>
        <v>15441</v>
      </c>
      <c r="L3" s="5">
        <f>Table34101112131814[[#This Row],[  50-54]]-Table341011121318[[#This Row],[  50-54]]</f>
        <v>15116</v>
      </c>
      <c r="M3" s="5">
        <f>Table34101112131814[[#This Row],[  55-59]]-Table341011121318[[#This Row],[  55-59]]</f>
        <v>14113</v>
      </c>
      <c r="N3" s="5">
        <f>Table34101112131814[[#This Row],[  60-64]]-Table341011121318[[#This Row],[  60-64]]</f>
        <v>12157</v>
      </c>
      <c r="O3" s="5">
        <f>Table34101112131814[[#This Row],[  65-69]]-Table341011121318[[#This Row],[  65-69]]</f>
        <v>10069</v>
      </c>
      <c r="P3" s="5">
        <f>Table34101112131814[[#This Row],[  70-74]]-Table341011121318[[#This Row],[  70-74]]</f>
        <v>7987</v>
      </c>
      <c r="Q3" s="5">
        <f>Table34101112131814[[#This Row],[  75-79]]-Table341011121318[[#This Row],[  75-79]]</f>
        <v>5170</v>
      </c>
      <c r="R3" s="5">
        <f>Table34101112131814[[#This Row],[  80-84]]-Table341011121318[[#This Row],[  80-84]]</f>
        <v>3532</v>
      </c>
      <c r="S3" s="5">
        <f>Table34101112131814[[#This Row],[  85-89]]-Table341011121318[[#This Row],[  85-89]]</f>
        <v>1868</v>
      </c>
      <c r="T3" s="5">
        <f>Table34101112131814[[#This Row],[  90+]]-Table341011121318[[#This Row],[  90+]]</f>
        <v>985</v>
      </c>
    </row>
    <row r="4" spans="1:20" x14ac:dyDescent="0.2">
      <c r="A4" s="9" t="s">
        <v>1</v>
      </c>
      <c r="B4" s="6" t="s">
        <v>23</v>
      </c>
      <c r="C4" s="5">
        <f>Table34101112131814[[#This Row],[Total]]-Table341011121318[[#This Row],[Total]]</f>
        <v>230187</v>
      </c>
      <c r="D4" s="5">
        <f>Table34101112131814[[#This Row],[  5-11]]-Table341011121318[[#This Row],[  5-11]]</f>
        <v>17257</v>
      </c>
      <c r="E4" s="5">
        <f>Table34101112131814[[#This Row],[  12-17]]-Table341011121318[[#This Row],[  12-17]]</f>
        <v>15282</v>
      </c>
      <c r="F4" s="5">
        <f>Table34101112131814[[#This Row],[  18-24]]-Table341011121318[[#This Row],[  18-24]]</f>
        <v>22979</v>
      </c>
      <c r="G4" s="5">
        <f>Table34101112131814[[#This Row],[  25-29 ]]-Table341011121318[[#This Row],[  25-29 ]]</f>
        <v>23521</v>
      </c>
      <c r="H4" s="5">
        <f>Table34101112131814[[#This Row],[  30-34]]-Table341011121318[[#This Row],[  30-34]]</f>
        <v>24003</v>
      </c>
      <c r="I4" s="5">
        <f>Table34101112131814[[#This Row],[  35-39]]-Table341011121318[[#This Row],[  35-39]]</f>
        <v>19472</v>
      </c>
      <c r="J4" s="5">
        <f>Table34101112131814[[#This Row],[  40-44]]-Table341011121318[[#This Row],[  40-44]]</f>
        <v>16351</v>
      </c>
      <c r="K4" s="5">
        <f>Table34101112131814[[#This Row],[  45-49 ]]-Table341011121318[[#This Row],[  45-49 ]]</f>
        <v>15479</v>
      </c>
      <c r="L4" s="5">
        <f>Table34101112131814[[#This Row],[  50-54]]-Table341011121318[[#This Row],[  50-54]]</f>
        <v>15429</v>
      </c>
      <c r="M4" s="5">
        <f>Table34101112131814[[#This Row],[  55-59]]-Table341011121318[[#This Row],[  55-59]]</f>
        <v>14270</v>
      </c>
      <c r="N4" s="5">
        <f>Table34101112131814[[#This Row],[  60-64]]-Table341011121318[[#This Row],[  60-64]]</f>
        <v>12368</v>
      </c>
      <c r="O4" s="5">
        <f>Table34101112131814[[#This Row],[  65-69]]-Table341011121318[[#This Row],[  65-69]]</f>
        <v>10445</v>
      </c>
      <c r="P4" s="5">
        <f>Table34101112131814[[#This Row],[  70-74]]-Table341011121318[[#This Row],[  70-74]]</f>
        <v>8321</v>
      </c>
      <c r="Q4" s="5">
        <f>Table34101112131814[[#This Row],[  75-79]]-Table341011121318[[#This Row],[  75-79]]</f>
        <v>5987</v>
      </c>
      <c r="R4" s="5">
        <f>Table34101112131814[[#This Row],[  80-84]]-Table341011121318[[#This Row],[  80-84]]</f>
        <v>4448</v>
      </c>
      <c r="S4" s="5">
        <f>Table34101112131814[[#This Row],[  85-89]]-Table341011121318[[#This Row],[  85-89]]</f>
        <v>2594</v>
      </c>
      <c r="T4" s="5">
        <f>Table34101112131814[[#This Row],[  90+]]-Table341011121318[[#This Row],[  90+]]</f>
        <v>1981</v>
      </c>
    </row>
    <row r="5" spans="1:20" ht="15" x14ac:dyDescent="0.2">
      <c r="A5" s="8" t="s">
        <v>2</v>
      </c>
      <c r="B5" s="6" t="s">
        <v>22</v>
      </c>
      <c r="C5" s="5">
        <f>Table34101112131814[[#This Row],[Total]]-Table341011121318[[#This Row],[Total]]</f>
        <v>196166</v>
      </c>
      <c r="D5" s="5">
        <f>Table34101112131814[[#This Row],[  5-11]]-Table341011121318[[#This Row],[  5-11]]</f>
        <v>15588</v>
      </c>
      <c r="E5" s="5">
        <f>Table34101112131814[[#This Row],[  12-17]]-Table341011121318[[#This Row],[  12-17]]</f>
        <v>13700</v>
      </c>
      <c r="F5" s="5">
        <f>Table34101112131814[[#This Row],[  18-24]]-Table341011121318[[#This Row],[  18-24]]</f>
        <v>13485</v>
      </c>
      <c r="G5" s="5">
        <f>Table34101112131814[[#This Row],[  25-29 ]]-Table341011121318[[#This Row],[  25-29 ]]</f>
        <v>12572</v>
      </c>
      <c r="H5" s="5">
        <f>Table34101112131814[[#This Row],[  30-34]]-Table341011121318[[#This Row],[  30-34]]</f>
        <v>14347</v>
      </c>
      <c r="I5" s="5">
        <f>Table34101112131814[[#This Row],[  35-39]]-Table341011121318[[#This Row],[  35-39]]</f>
        <v>13078</v>
      </c>
      <c r="J5" s="5">
        <f>Table34101112131814[[#This Row],[  40-44]]-Table341011121318[[#This Row],[  40-44]]</f>
        <v>11928</v>
      </c>
      <c r="K5" s="5">
        <f>Table34101112131814[[#This Row],[  45-49 ]]-Table341011121318[[#This Row],[  45-49 ]]</f>
        <v>12770</v>
      </c>
      <c r="L5" s="5">
        <f>Table34101112131814[[#This Row],[  50-54]]-Table341011121318[[#This Row],[  50-54]]</f>
        <v>13329</v>
      </c>
      <c r="M5" s="5">
        <f>Table34101112131814[[#This Row],[  55-59]]-Table341011121318[[#This Row],[  55-59]]</f>
        <v>13555</v>
      </c>
      <c r="N5" s="5">
        <f>Table34101112131814[[#This Row],[  60-64]]-Table341011121318[[#This Row],[  60-64]]</f>
        <v>13737</v>
      </c>
      <c r="O5" s="5">
        <f>Table34101112131814[[#This Row],[  65-69]]-Table341011121318[[#This Row],[  65-69]]</f>
        <v>13192</v>
      </c>
      <c r="P5" s="5">
        <f>Table34101112131814[[#This Row],[  70-74]]-Table341011121318[[#This Row],[  70-74]]</f>
        <v>12493</v>
      </c>
      <c r="Q5" s="5">
        <f>Table34101112131814[[#This Row],[  75-79]]-Table341011121318[[#This Row],[  75-79]]</f>
        <v>9627</v>
      </c>
      <c r="R5" s="5">
        <f>Table34101112131814[[#This Row],[  80-84]]-Table341011121318[[#This Row],[  80-84]]</f>
        <v>7010</v>
      </c>
      <c r="S5" s="5">
        <f>Table34101112131814[[#This Row],[  85-89]]-Table341011121318[[#This Row],[  85-89]]</f>
        <v>3583</v>
      </c>
      <c r="T5" s="5">
        <f>Table34101112131814[[#This Row],[  90+]]-Table341011121318[[#This Row],[  90+]]</f>
        <v>2172</v>
      </c>
    </row>
    <row r="6" spans="1:20" ht="15" x14ac:dyDescent="0.2">
      <c r="A6" s="8" t="s">
        <v>2</v>
      </c>
      <c r="B6" s="6" t="s">
        <v>0</v>
      </c>
      <c r="C6" s="5">
        <f>Table34101112131814[[#This Row],[Total]]-Table341011121318[[#This Row],[Total]]</f>
        <v>96563</v>
      </c>
      <c r="D6" s="5">
        <f>Table34101112131814[[#This Row],[  5-11]]-Table341011121318[[#This Row],[  5-11]]</f>
        <v>7963</v>
      </c>
      <c r="E6" s="5">
        <f>Table34101112131814[[#This Row],[  12-17]]-Table341011121318[[#This Row],[  12-17]]</f>
        <v>7088</v>
      </c>
      <c r="F6" s="5">
        <f>Table34101112131814[[#This Row],[  18-24]]-Table341011121318[[#This Row],[  18-24]]</f>
        <v>7351</v>
      </c>
      <c r="G6" s="5">
        <f>Table34101112131814[[#This Row],[  25-29 ]]-Table341011121318[[#This Row],[  25-29 ]]</f>
        <v>6656</v>
      </c>
      <c r="H6" s="5">
        <f>Table34101112131814[[#This Row],[  30-34]]-Table341011121318[[#This Row],[  30-34]]</f>
        <v>7030</v>
      </c>
      <c r="I6" s="5">
        <f>Table34101112131814[[#This Row],[  35-39]]-Table341011121318[[#This Row],[  35-39]]</f>
        <v>6348</v>
      </c>
      <c r="J6" s="5">
        <f>Table34101112131814[[#This Row],[  40-44]]-Table341011121318[[#This Row],[  40-44]]</f>
        <v>5847</v>
      </c>
      <c r="K6" s="5">
        <f>Table34101112131814[[#This Row],[  45-49 ]]-Table341011121318[[#This Row],[  45-49 ]]</f>
        <v>6247</v>
      </c>
      <c r="L6" s="5">
        <f>Table34101112131814[[#This Row],[  50-54]]-Table341011121318[[#This Row],[  50-54]]</f>
        <v>6407</v>
      </c>
      <c r="M6" s="5">
        <f>Table34101112131814[[#This Row],[  55-59]]-Table341011121318[[#This Row],[  55-59]]</f>
        <v>6504</v>
      </c>
      <c r="N6" s="5">
        <f>Table34101112131814[[#This Row],[  60-64]]-Table341011121318[[#This Row],[  60-64]]</f>
        <v>6561</v>
      </c>
      <c r="O6" s="5">
        <f>Table34101112131814[[#This Row],[  65-69]]-Table341011121318[[#This Row],[  65-69]]</f>
        <v>6332</v>
      </c>
      <c r="P6" s="5">
        <f>Table34101112131814[[#This Row],[  70-74]]-Table341011121318[[#This Row],[  70-74]]</f>
        <v>6012</v>
      </c>
      <c r="Q6" s="5">
        <f>Table34101112131814[[#This Row],[  75-79]]-Table341011121318[[#This Row],[  75-79]]</f>
        <v>4589</v>
      </c>
      <c r="R6" s="5">
        <f>Table34101112131814[[#This Row],[  80-84]]-Table341011121318[[#This Row],[  80-84]]</f>
        <v>3242</v>
      </c>
      <c r="S6" s="5">
        <f>Table34101112131814[[#This Row],[  85-89]]-Table341011121318[[#This Row],[  85-89]]</f>
        <v>1577</v>
      </c>
      <c r="T6" s="5">
        <f>Table34101112131814[[#This Row],[  90+]]-Table341011121318[[#This Row],[  90+]]</f>
        <v>809</v>
      </c>
    </row>
    <row r="7" spans="1:20" ht="15" x14ac:dyDescent="0.2">
      <c r="A7" s="8" t="s">
        <v>2</v>
      </c>
      <c r="B7" s="6" t="s">
        <v>23</v>
      </c>
      <c r="C7" s="5">
        <f>Table34101112131814[[#This Row],[Total]]-Table341011121318[[#This Row],[Total]]</f>
        <v>99603</v>
      </c>
      <c r="D7" s="5">
        <f>Table34101112131814[[#This Row],[  5-11]]-Table341011121318[[#This Row],[  5-11]]</f>
        <v>7625</v>
      </c>
      <c r="E7" s="5">
        <f>Table34101112131814[[#This Row],[  12-17]]-Table341011121318[[#This Row],[  12-17]]</f>
        <v>6612</v>
      </c>
      <c r="F7" s="5">
        <f>Table34101112131814[[#This Row],[  18-24]]-Table341011121318[[#This Row],[  18-24]]</f>
        <v>6134</v>
      </c>
      <c r="G7" s="5">
        <f>Table34101112131814[[#This Row],[  25-29 ]]-Table341011121318[[#This Row],[  25-29 ]]</f>
        <v>5916</v>
      </c>
      <c r="H7" s="5">
        <f>Table34101112131814[[#This Row],[  30-34]]-Table341011121318[[#This Row],[  30-34]]</f>
        <v>7317</v>
      </c>
      <c r="I7" s="5">
        <f>Table34101112131814[[#This Row],[  35-39]]-Table341011121318[[#This Row],[  35-39]]</f>
        <v>6730</v>
      </c>
      <c r="J7" s="5">
        <f>Table34101112131814[[#This Row],[  40-44]]-Table341011121318[[#This Row],[  40-44]]</f>
        <v>6081</v>
      </c>
      <c r="K7" s="5">
        <f>Table34101112131814[[#This Row],[  45-49 ]]-Table341011121318[[#This Row],[  45-49 ]]</f>
        <v>6523</v>
      </c>
      <c r="L7" s="5">
        <f>Table34101112131814[[#This Row],[  50-54]]-Table341011121318[[#This Row],[  50-54]]</f>
        <v>6922</v>
      </c>
      <c r="M7" s="5">
        <f>Table34101112131814[[#This Row],[  55-59]]-Table341011121318[[#This Row],[  55-59]]</f>
        <v>7051</v>
      </c>
      <c r="N7" s="5">
        <f>Table34101112131814[[#This Row],[  60-64]]-Table341011121318[[#This Row],[  60-64]]</f>
        <v>7176</v>
      </c>
      <c r="O7" s="5">
        <f>Table34101112131814[[#This Row],[  65-69]]-Table341011121318[[#This Row],[  65-69]]</f>
        <v>6860</v>
      </c>
      <c r="P7" s="5">
        <f>Table34101112131814[[#This Row],[  70-74]]-Table341011121318[[#This Row],[  70-74]]</f>
        <v>6481</v>
      </c>
      <c r="Q7" s="5">
        <f>Table34101112131814[[#This Row],[  75-79]]-Table341011121318[[#This Row],[  75-79]]</f>
        <v>5038</v>
      </c>
      <c r="R7" s="5">
        <f>Table34101112131814[[#This Row],[  80-84]]-Table341011121318[[#This Row],[  80-84]]</f>
        <v>3768</v>
      </c>
      <c r="S7" s="5">
        <f>Table34101112131814[[#This Row],[  85-89]]-Table341011121318[[#This Row],[  85-89]]</f>
        <v>2006</v>
      </c>
      <c r="T7" s="5">
        <f>Table34101112131814[[#This Row],[  90+]]-Table341011121318[[#This Row],[  90+]]</f>
        <v>1363</v>
      </c>
    </row>
    <row r="8" spans="1:20" x14ac:dyDescent="0.2">
      <c r="A8" s="9" t="s">
        <v>3</v>
      </c>
      <c r="B8" s="6" t="s">
        <v>22</v>
      </c>
      <c r="C8" s="5">
        <f>Table34101112131814[[#This Row],[Total]]-Table341011121318[[#This Row],[Total]]</f>
        <v>514251</v>
      </c>
      <c r="D8" s="5">
        <f>Table34101112131814[[#This Row],[  5-11]]-Table341011121318[[#This Row],[  5-11]]</f>
        <v>41904</v>
      </c>
      <c r="E8" s="5">
        <f>Table34101112131814[[#This Row],[  12-17]]-Table341011121318[[#This Row],[  12-17]]</f>
        <v>37207</v>
      </c>
      <c r="F8" s="5">
        <f>Table34101112131814[[#This Row],[  18-24]]-Table341011121318[[#This Row],[  18-24]]</f>
        <v>47239</v>
      </c>
      <c r="G8" s="5">
        <f>Table34101112131814[[#This Row],[  25-29 ]]-Table341011121318[[#This Row],[  25-29 ]]</f>
        <v>38737</v>
      </c>
      <c r="H8" s="5">
        <f>Table34101112131814[[#This Row],[  30-34]]-Table341011121318[[#This Row],[  30-34]]</f>
        <v>42387</v>
      </c>
      <c r="I8" s="5">
        <f>Table34101112131814[[#This Row],[  35-39]]-Table341011121318[[#This Row],[  35-39]]</f>
        <v>37607</v>
      </c>
      <c r="J8" s="5">
        <f>Table34101112131814[[#This Row],[  40-44]]-Table341011121318[[#This Row],[  40-44]]</f>
        <v>34032</v>
      </c>
      <c r="K8" s="5">
        <f>Table34101112131814[[#This Row],[  45-49 ]]-Table341011121318[[#This Row],[  45-49 ]]</f>
        <v>35046</v>
      </c>
      <c r="L8" s="5">
        <f>Table34101112131814[[#This Row],[  50-54]]-Table341011121318[[#This Row],[  50-54]]</f>
        <v>36996</v>
      </c>
      <c r="M8" s="5">
        <f>Table34101112131814[[#This Row],[  55-59]]-Table341011121318[[#This Row],[  55-59]]</f>
        <v>35193</v>
      </c>
      <c r="N8" s="5">
        <f>Table34101112131814[[#This Row],[  60-64]]-Table341011121318[[#This Row],[  60-64]]</f>
        <v>33508</v>
      </c>
      <c r="O8" s="5">
        <f>Table34101112131814[[#This Row],[  65-69]]-Table341011121318[[#This Row],[  65-69]]</f>
        <v>28527</v>
      </c>
      <c r="P8" s="5">
        <f>Table34101112131814[[#This Row],[  70-74]]-Table341011121318[[#This Row],[  70-74]]</f>
        <v>24929</v>
      </c>
      <c r="Q8" s="5">
        <f>Table34101112131814[[#This Row],[  75-79]]-Table341011121318[[#This Row],[  75-79]]</f>
        <v>17499</v>
      </c>
      <c r="R8" s="5">
        <f>Table34101112131814[[#This Row],[  80-84]]-Table341011121318[[#This Row],[  80-84]]</f>
        <v>12332</v>
      </c>
      <c r="S8" s="5">
        <f>Table34101112131814[[#This Row],[  85-89]]-Table341011121318[[#This Row],[  85-89]]</f>
        <v>6799</v>
      </c>
      <c r="T8" s="5">
        <f>Table34101112131814[[#This Row],[  90+]]-Table341011121318[[#This Row],[  90+]]</f>
        <v>4309</v>
      </c>
    </row>
    <row r="9" spans="1:20" x14ac:dyDescent="0.2">
      <c r="A9" s="9" t="s">
        <v>3</v>
      </c>
      <c r="B9" s="6" t="s">
        <v>0</v>
      </c>
      <c r="C9" s="5">
        <f>Table34101112131814[[#This Row],[Total]]-Table341011121318[[#This Row],[Total]]</f>
        <v>255394</v>
      </c>
      <c r="D9" s="5">
        <f>Table34101112131814[[#This Row],[  5-11]]-Table341011121318[[#This Row],[  5-11]]</f>
        <v>21356</v>
      </c>
      <c r="E9" s="5">
        <f>Table34101112131814[[#This Row],[  12-17]]-Table341011121318[[#This Row],[  12-17]]</f>
        <v>19153</v>
      </c>
      <c r="F9" s="5">
        <f>Table34101112131814[[#This Row],[  18-24]]-Table341011121318[[#This Row],[  18-24]]</f>
        <v>24638</v>
      </c>
      <c r="G9" s="5">
        <f>Table34101112131814[[#This Row],[  25-29 ]]-Table341011121318[[#This Row],[  25-29 ]]</f>
        <v>19871</v>
      </c>
      <c r="H9" s="5">
        <f>Table34101112131814[[#This Row],[  30-34]]-Table341011121318[[#This Row],[  30-34]]</f>
        <v>21300</v>
      </c>
      <c r="I9" s="5">
        <f>Table34101112131814[[#This Row],[  35-39]]-Table341011121318[[#This Row],[  35-39]]</f>
        <v>18938</v>
      </c>
      <c r="J9" s="5">
        <f>Table34101112131814[[#This Row],[  40-44]]-Table341011121318[[#This Row],[  40-44]]</f>
        <v>16864</v>
      </c>
      <c r="K9" s="5">
        <f>Table34101112131814[[#This Row],[  45-49 ]]-Table341011121318[[#This Row],[  45-49 ]]</f>
        <v>17220</v>
      </c>
      <c r="L9" s="5">
        <f>Table34101112131814[[#This Row],[  50-54]]-Table341011121318[[#This Row],[  50-54]]</f>
        <v>18256</v>
      </c>
      <c r="M9" s="5">
        <f>Table34101112131814[[#This Row],[  55-59]]-Table341011121318[[#This Row],[  55-59]]</f>
        <v>17353</v>
      </c>
      <c r="N9" s="5">
        <f>Table34101112131814[[#This Row],[  60-64]]-Table341011121318[[#This Row],[  60-64]]</f>
        <v>16478</v>
      </c>
      <c r="O9" s="5">
        <f>Table34101112131814[[#This Row],[  65-69]]-Table341011121318[[#This Row],[  65-69]]</f>
        <v>13884</v>
      </c>
      <c r="P9" s="5">
        <f>Table34101112131814[[#This Row],[  70-74]]-Table341011121318[[#This Row],[  70-74]]</f>
        <v>12073</v>
      </c>
      <c r="Q9" s="5">
        <f>Table34101112131814[[#This Row],[  75-79]]-Table341011121318[[#This Row],[  75-79]]</f>
        <v>8257</v>
      </c>
      <c r="R9" s="5">
        <f>Table34101112131814[[#This Row],[  80-84]]-Table341011121318[[#This Row],[  80-84]]</f>
        <v>5491</v>
      </c>
      <c r="S9" s="5">
        <f>Table34101112131814[[#This Row],[  85-89]]-Table341011121318[[#This Row],[  85-89]]</f>
        <v>2774</v>
      </c>
      <c r="T9" s="5">
        <f>Table34101112131814[[#This Row],[  90+]]-Table341011121318[[#This Row],[  90+]]</f>
        <v>1488</v>
      </c>
    </row>
    <row r="10" spans="1:20" x14ac:dyDescent="0.2">
      <c r="A10" s="9" t="s">
        <v>3</v>
      </c>
      <c r="B10" s="6" t="s">
        <v>23</v>
      </c>
      <c r="C10" s="5">
        <f>Table34101112131814[[#This Row],[Total]]-Table341011121318[[#This Row],[Total]]</f>
        <v>258857</v>
      </c>
      <c r="D10" s="5">
        <f>Table34101112131814[[#This Row],[  5-11]]-Table341011121318[[#This Row],[  5-11]]</f>
        <v>20548</v>
      </c>
      <c r="E10" s="5">
        <f>Table34101112131814[[#This Row],[  12-17]]-Table341011121318[[#This Row],[  12-17]]</f>
        <v>18054</v>
      </c>
      <c r="F10" s="5">
        <f>Table34101112131814[[#This Row],[  18-24]]-Table341011121318[[#This Row],[  18-24]]</f>
        <v>22601</v>
      </c>
      <c r="G10" s="5">
        <f>Table34101112131814[[#This Row],[  25-29 ]]-Table341011121318[[#This Row],[  25-29 ]]</f>
        <v>18866</v>
      </c>
      <c r="H10" s="5">
        <f>Table34101112131814[[#This Row],[  30-34]]-Table341011121318[[#This Row],[  30-34]]</f>
        <v>21087</v>
      </c>
      <c r="I10" s="5">
        <f>Table34101112131814[[#This Row],[  35-39]]-Table341011121318[[#This Row],[  35-39]]</f>
        <v>18669</v>
      </c>
      <c r="J10" s="5">
        <f>Table34101112131814[[#This Row],[  40-44]]-Table341011121318[[#This Row],[  40-44]]</f>
        <v>17168</v>
      </c>
      <c r="K10" s="5">
        <f>Table34101112131814[[#This Row],[  45-49 ]]-Table341011121318[[#This Row],[  45-49 ]]</f>
        <v>17826</v>
      </c>
      <c r="L10" s="5">
        <f>Table34101112131814[[#This Row],[  50-54]]-Table341011121318[[#This Row],[  50-54]]</f>
        <v>18740</v>
      </c>
      <c r="M10" s="5">
        <f>Table34101112131814[[#This Row],[  55-59]]-Table341011121318[[#This Row],[  55-59]]</f>
        <v>17840</v>
      </c>
      <c r="N10" s="5">
        <f>Table34101112131814[[#This Row],[  60-64]]-Table341011121318[[#This Row],[  60-64]]</f>
        <v>17030</v>
      </c>
      <c r="O10" s="5">
        <f>Table34101112131814[[#This Row],[  65-69]]-Table341011121318[[#This Row],[  65-69]]</f>
        <v>14643</v>
      </c>
      <c r="P10" s="5">
        <f>Table34101112131814[[#This Row],[  70-74]]-Table341011121318[[#This Row],[  70-74]]</f>
        <v>12856</v>
      </c>
      <c r="Q10" s="5">
        <f>Table34101112131814[[#This Row],[  75-79]]-Table341011121318[[#This Row],[  75-79]]</f>
        <v>9242</v>
      </c>
      <c r="R10" s="5">
        <f>Table34101112131814[[#This Row],[  80-84]]-Table341011121318[[#This Row],[  80-84]]</f>
        <v>6841</v>
      </c>
      <c r="S10" s="5">
        <f>Table34101112131814[[#This Row],[  85-89]]-Table341011121318[[#This Row],[  85-89]]</f>
        <v>4025</v>
      </c>
      <c r="T10" s="5">
        <f>Table34101112131814[[#This Row],[  90+]]-Table341011121318[[#This Row],[  90+]]</f>
        <v>2821</v>
      </c>
    </row>
    <row r="11" spans="1:20" x14ac:dyDescent="0.2">
      <c r="A11" s="9" t="s">
        <v>4</v>
      </c>
      <c r="B11" s="6" t="s">
        <v>22</v>
      </c>
      <c r="C11" s="5">
        <f>Table34101112131814[[#This Row],[Total]]-Table341011121318[[#This Row],[Total]]</f>
        <v>276741</v>
      </c>
      <c r="D11" s="5">
        <f>Table34101112131814[[#This Row],[  5-11]]-Table341011121318[[#This Row],[  5-11]]</f>
        <v>21382</v>
      </c>
      <c r="E11" s="5">
        <f>Table34101112131814[[#This Row],[  12-17]]-Table341011121318[[#This Row],[  12-17]]</f>
        <v>19485</v>
      </c>
      <c r="F11" s="5">
        <f>Table34101112131814[[#This Row],[  18-24]]-Table341011121318[[#This Row],[  18-24]]</f>
        <v>28978</v>
      </c>
      <c r="G11" s="5">
        <f>Table34101112131814[[#This Row],[  25-29 ]]-Table341011121318[[#This Row],[  25-29 ]]</f>
        <v>24966</v>
      </c>
      <c r="H11" s="5">
        <f>Table34101112131814[[#This Row],[  30-34]]-Table341011121318[[#This Row],[  30-34]]</f>
        <v>24417</v>
      </c>
      <c r="I11" s="5">
        <f>Table34101112131814[[#This Row],[  35-39]]-Table341011121318[[#This Row],[  35-39]]</f>
        <v>21295</v>
      </c>
      <c r="J11" s="5">
        <f>Table34101112131814[[#This Row],[  40-44]]-Table341011121318[[#This Row],[  40-44]]</f>
        <v>19622</v>
      </c>
      <c r="K11" s="5">
        <f>Table34101112131814[[#This Row],[  45-49 ]]-Table341011121318[[#This Row],[  45-49 ]]</f>
        <v>19883</v>
      </c>
      <c r="L11" s="5">
        <f>Table34101112131814[[#This Row],[  50-54]]-Table341011121318[[#This Row],[  50-54]]</f>
        <v>19754</v>
      </c>
      <c r="M11" s="5">
        <f>Table34101112131814[[#This Row],[  55-59]]-Table341011121318[[#This Row],[  55-59]]</f>
        <v>18473</v>
      </c>
      <c r="N11" s="5">
        <f>Table34101112131814[[#This Row],[  60-64]]-Table341011121318[[#This Row],[  60-64]]</f>
        <v>15861</v>
      </c>
      <c r="O11" s="5">
        <f>Table34101112131814[[#This Row],[  65-69]]-Table341011121318[[#This Row],[  65-69]]</f>
        <v>12929</v>
      </c>
      <c r="P11" s="5">
        <f>Table34101112131814[[#This Row],[  70-74]]-Table341011121318[[#This Row],[  70-74]]</f>
        <v>11072</v>
      </c>
      <c r="Q11" s="5">
        <f>Table34101112131814[[#This Row],[  75-79]]-Table341011121318[[#This Row],[  75-79]]</f>
        <v>8152</v>
      </c>
      <c r="R11" s="5">
        <f>Table34101112131814[[#This Row],[  80-84]]-Table341011121318[[#This Row],[  80-84]]</f>
        <v>5505</v>
      </c>
      <c r="S11" s="5">
        <f>Table34101112131814[[#This Row],[  85-89]]-Table341011121318[[#This Row],[  85-89]]</f>
        <v>3104</v>
      </c>
      <c r="T11" s="5">
        <f>Table34101112131814[[#This Row],[  90+]]-Table341011121318[[#This Row],[  90+]]</f>
        <v>1863</v>
      </c>
    </row>
    <row r="12" spans="1:20" x14ac:dyDescent="0.2">
      <c r="A12" s="9" t="s">
        <v>4</v>
      </c>
      <c r="B12" s="6" t="s">
        <v>0</v>
      </c>
      <c r="C12" s="5">
        <f>Table34101112131814[[#This Row],[Total]]-Table341011121318[[#This Row],[Total]]</f>
        <v>134686</v>
      </c>
      <c r="D12" s="5">
        <f>Table34101112131814[[#This Row],[  5-11]]-Table341011121318[[#This Row],[  5-11]]</f>
        <v>10927</v>
      </c>
      <c r="E12" s="5">
        <f>Table34101112131814[[#This Row],[  12-17]]-Table341011121318[[#This Row],[  12-17]]</f>
        <v>9871</v>
      </c>
      <c r="F12" s="5">
        <f>Table34101112131814[[#This Row],[  18-24]]-Table341011121318[[#This Row],[  18-24]]</f>
        <v>13845</v>
      </c>
      <c r="G12" s="5">
        <f>Table34101112131814[[#This Row],[  25-29 ]]-Table341011121318[[#This Row],[  25-29 ]]</f>
        <v>12323</v>
      </c>
      <c r="H12" s="5">
        <f>Table34101112131814[[#This Row],[  30-34]]-Table341011121318[[#This Row],[  30-34]]</f>
        <v>11995</v>
      </c>
      <c r="I12" s="5">
        <f>Table34101112131814[[#This Row],[  35-39]]-Table341011121318[[#This Row],[  35-39]]</f>
        <v>10370</v>
      </c>
      <c r="J12" s="5">
        <f>Table34101112131814[[#This Row],[  40-44]]-Table341011121318[[#This Row],[  40-44]]</f>
        <v>9750</v>
      </c>
      <c r="K12" s="5">
        <f>Table34101112131814[[#This Row],[  45-49 ]]-Table341011121318[[#This Row],[  45-49 ]]</f>
        <v>9764</v>
      </c>
      <c r="L12" s="5">
        <f>Table34101112131814[[#This Row],[  50-54]]-Table341011121318[[#This Row],[  50-54]]</f>
        <v>9509</v>
      </c>
      <c r="M12" s="5">
        <f>Table34101112131814[[#This Row],[  55-59]]-Table341011121318[[#This Row],[  55-59]]</f>
        <v>9040</v>
      </c>
      <c r="N12" s="5">
        <f>Table34101112131814[[#This Row],[  60-64]]-Table341011121318[[#This Row],[  60-64]]</f>
        <v>7805</v>
      </c>
      <c r="O12" s="5">
        <f>Table34101112131814[[#This Row],[  65-69]]-Table341011121318[[#This Row],[  65-69]]</f>
        <v>6170</v>
      </c>
      <c r="P12" s="5">
        <f>Table34101112131814[[#This Row],[  70-74]]-Table341011121318[[#This Row],[  70-74]]</f>
        <v>5266</v>
      </c>
      <c r="Q12" s="5">
        <f>Table34101112131814[[#This Row],[  75-79]]-Table341011121318[[#This Row],[  75-79]]</f>
        <v>3799</v>
      </c>
      <c r="R12" s="5">
        <f>Table34101112131814[[#This Row],[  80-84]]-Table341011121318[[#This Row],[  80-84]]</f>
        <v>2364</v>
      </c>
      <c r="S12" s="5">
        <f>Table34101112131814[[#This Row],[  85-89]]-Table341011121318[[#This Row],[  85-89]]</f>
        <v>1234</v>
      </c>
      <c r="T12" s="5">
        <f>Table34101112131814[[#This Row],[  90+]]-Table341011121318[[#This Row],[  90+]]</f>
        <v>654</v>
      </c>
    </row>
    <row r="13" spans="1:20" x14ac:dyDescent="0.2">
      <c r="A13" s="9" t="s">
        <v>4</v>
      </c>
      <c r="B13" s="6" t="s">
        <v>23</v>
      </c>
      <c r="C13" s="5">
        <f>Table34101112131814[[#This Row],[Total]]-Table341011121318[[#This Row],[Total]]</f>
        <v>142055</v>
      </c>
      <c r="D13" s="5">
        <f>Table34101112131814[[#This Row],[  5-11]]-Table341011121318[[#This Row],[  5-11]]</f>
        <v>10455</v>
      </c>
      <c r="E13" s="5">
        <f>Table34101112131814[[#This Row],[  12-17]]-Table341011121318[[#This Row],[  12-17]]</f>
        <v>9614</v>
      </c>
      <c r="F13" s="5">
        <f>Table34101112131814[[#This Row],[  18-24]]-Table341011121318[[#This Row],[  18-24]]</f>
        <v>15133</v>
      </c>
      <c r="G13" s="5">
        <f>Table34101112131814[[#This Row],[  25-29 ]]-Table341011121318[[#This Row],[  25-29 ]]</f>
        <v>12643</v>
      </c>
      <c r="H13" s="5">
        <f>Table34101112131814[[#This Row],[  30-34]]-Table341011121318[[#This Row],[  30-34]]</f>
        <v>12422</v>
      </c>
      <c r="I13" s="5">
        <f>Table34101112131814[[#This Row],[  35-39]]-Table341011121318[[#This Row],[  35-39]]</f>
        <v>10925</v>
      </c>
      <c r="J13" s="5">
        <f>Table34101112131814[[#This Row],[  40-44]]-Table341011121318[[#This Row],[  40-44]]</f>
        <v>9872</v>
      </c>
      <c r="K13" s="5">
        <f>Table34101112131814[[#This Row],[  45-49 ]]-Table341011121318[[#This Row],[  45-49 ]]</f>
        <v>10119</v>
      </c>
      <c r="L13" s="5">
        <f>Table34101112131814[[#This Row],[  50-54]]-Table341011121318[[#This Row],[  50-54]]</f>
        <v>10245</v>
      </c>
      <c r="M13" s="5">
        <f>Table34101112131814[[#This Row],[  55-59]]-Table341011121318[[#This Row],[  55-59]]</f>
        <v>9433</v>
      </c>
      <c r="N13" s="5">
        <f>Table34101112131814[[#This Row],[  60-64]]-Table341011121318[[#This Row],[  60-64]]</f>
        <v>8056</v>
      </c>
      <c r="O13" s="5">
        <f>Table34101112131814[[#This Row],[  65-69]]-Table341011121318[[#This Row],[  65-69]]</f>
        <v>6759</v>
      </c>
      <c r="P13" s="5">
        <f>Table34101112131814[[#This Row],[  70-74]]-Table341011121318[[#This Row],[  70-74]]</f>
        <v>5806</v>
      </c>
      <c r="Q13" s="5">
        <f>Table34101112131814[[#This Row],[  75-79]]-Table341011121318[[#This Row],[  75-79]]</f>
        <v>4353</v>
      </c>
      <c r="R13" s="5">
        <f>Table34101112131814[[#This Row],[  80-84]]-Table341011121318[[#This Row],[  80-84]]</f>
        <v>3141</v>
      </c>
      <c r="S13" s="5">
        <f>Table34101112131814[[#This Row],[  85-89]]-Table341011121318[[#This Row],[  85-89]]</f>
        <v>1870</v>
      </c>
      <c r="T13" s="5">
        <f>Table34101112131814[[#This Row],[  90+]]-Table341011121318[[#This Row],[  90+]]</f>
        <v>1209</v>
      </c>
    </row>
    <row r="14" spans="1:20" x14ac:dyDescent="0.2">
      <c r="A14" s="9" t="s">
        <v>5</v>
      </c>
      <c r="B14" s="6" t="s">
        <v>22</v>
      </c>
      <c r="C14" s="5">
        <f>Table34101112131814[[#This Row],[Total]]-Table341011121318[[#This Row],[Total]]</f>
        <v>494534</v>
      </c>
      <c r="D14" s="5">
        <f>Table34101112131814[[#This Row],[  5-11]]-Table341011121318[[#This Row],[  5-11]]</f>
        <v>51260</v>
      </c>
      <c r="E14" s="5">
        <f>Table34101112131814[[#This Row],[  12-17]]-Table341011121318[[#This Row],[  12-17]]</f>
        <v>42621</v>
      </c>
      <c r="F14" s="5">
        <f>Table34101112131814[[#This Row],[  18-24]]-Table341011121318[[#This Row],[  18-24]]</f>
        <v>48521</v>
      </c>
      <c r="G14" s="5">
        <f>Table34101112131814[[#This Row],[  25-29 ]]-Table341011121318[[#This Row],[  25-29 ]]</f>
        <v>41372</v>
      </c>
      <c r="H14" s="5">
        <f>Table34101112131814[[#This Row],[  30-34]]-Table341011121318[[#This Row],[  30-34]]</f>
        <v>44327</v>
      </c>
      <c r="I14" s="5">
        <f>Table34101112131814[[#This Row],[  35-39]]-Table341011121318[[#This Row],[  35-39]]</f>
        <v>39882</v>
      </c>
      <c r="J14" s="5">
        <f>Table34101112131814[[#This Row],[  40-44]]-Table341011121318[[#This Row],[  40-44]]</f>
        <v>35124</v>
      </c>
      <c r="K14" s="5">
        <f>Table34101112131814[[#This Row],[  45-49 ]]-Table341011121318[[#This Row],[  45-49 ]]</f>
        <v>32436</v>
      </c>
      <c r="L14" s="5">
        <f>Table34101112131814[[#This Row],[  50-54]]-Table341011121318[[#This Row],[  50-54]]</f>
        <v>32959</v>
      </c>
      <c r="M14" s="5">
        <f>Table34101112131814[[#This Row],[  55-59]]-Table341011121318[[#This Row],[  55-59]]</f>
        <v>31146</v>
      </c>
      <c r="N14" s="5">
        <f>Table34101112131814[[#This Row],[  60-64]]-Table341011121318[[#This Row],[  60-64]]</f>
        <v>26981</v>
      </c>
      <c r="O14" s="5">
        <f>Table34101112131814[[#This Row],[  65-69]]-Table341011121318[[#This Row],[  65-69]]</f>
        <v>22443</v>
      </c>
      <c r="P14" s="5">
        <f>Table34101112131814[[#This Row],[  70-74]]-Table341011121318[[#This Row],[  70-74]]</f>
        <v>18029</v>
      </c>
      <c r="Q14" s="5">
        <f>Table34101112131814[[#This Row],[  75-79]]-Table341011121318[[#This Row],[  75-79]]</f>
        <v>12503</v>
      </c>
      <c r="R14" s="5">
        <f>Table34101112131814[[#This Row],[  80-84]]-Table341011121318[[#This Row],[  80-84]]</f>
        <v>8365</v>
      </c>
      <c r="S14" s="5">
        <f>Table34101112131814[[#This Row],[  85-89]]-Table341011121318[[#This Row],[  85-89]]</f>
        <v>4251</v>
      </c>
      <c r="T14" s="5">
        <f>Table34101112131814[[#This Row],[  90+]]-Table341011121318[[#This Row],[  90+]]</f>
        <v>2314</v>
      </c>
    </row>
    <row r="15" spans="1:20" x14ac:dyDescent="0.2">
      <c r="A15" s="9" t="s">
        <v>5</v>
      </c>
      <c r="B15" s="6" t="s">
        <v>0</v>
      </c>
      <c r="C15" s="5">
        <f>Table34101112131814[[#This Row],[Total]]-Table341011121318[[#This Row],[Total]]</f>
        <v>248453</v>
      </c>
      <c r="D15" s="5">
        <f>Table34101112131814[[#This Row],[  5-11]]-Table341011121318[[#This Row],[  5-11]]</f>
        <v>26484</v>
      </c>
      <c r="E15" s="5">
        <f>Table34101112131814[[#This Row],[  12-17]]-Table341011121318[[#This Row],[  12-17]]</f>
        <v>21898</v>
      </c>
      <c r="F15" s="5">
        <f>Table34101112131814[[#This Row],[  18-24]]-Table341011121318[[#This Row],[  18-24]]</f>
        <v>25316</v>
      </c>
      <c r="G15" s="5">
        <f>Table34101112131814[[#This Row],[  25-29 ]]-Table341011121318[[#This Row],[  25-29 ]]</f>
        <v>21364</v>
      </c>
      <c r="H15" s="5">
        <f>Table34101112131814[[#This Row],[  30-34]]-Table341011121318[[#This Row],[  30-34]]</f>
        <v>22282</v>
      </c>
      <c r="I15" s="5">
        <f>Table34101112131814[[#This Row],[  35-39]]-Table341011121318[[#This Row],[  35-39]]</f>
        <v>19791</v>
      </c>
      <c r="J15" s="5">
        <f>Table34101112131814[[#This Row],[  40-44]]-Table341011121318[[#This Row],[  40-44]]</f>
        <v>17696</v>
      </c>
      <c r="K15" s="5">
        <f>Table34101112131814[[#This Row],[  45-49 ]]-Table341011121318[[#This Row],[  45-49 ]]</f>
        <v>16154</v>
      </c>
      <c r="L15" s="5">
        <f>Table34101112131814[[#This Row],[  50-54]]-Table341011121318[[#This Row],[  50-54]]</f>
        <v>16406</v>
      </c>
      <c r="M15" s="5">
        <f>Table34101112131814[[#This Row],[  55-59]]-Table341011121318[[#This Row],[  55-59]]</f>
        <v>15707</v>
      </c>
      <c r="N15" s="5">
        <f>Table34101112131814[[#This Row],[  60-64]]-Table341011121318[[#This Row],[  60-64]]</f>
        <v>13365</v>
      </c>
      <c r="O15" s="5">
        <f>Table34101112131814[[#This Row],[  65-69]]-Table341011121318[[#This Row],[  65-69]]</f>
        <v>10922</v>
      </c>
      <c r="P15" s="5">
        <f>Table34101112131814[[#This Row],[  70-74]]-Table341011121318[[#This Row],[  70-74]]</f>
        <v>8811</v>
      </c>
      <c r="Q15" s="5">
        <f>Table34101112131814[[#This Row],[  75-79]]-Table341011121318[[#This Row],[  75-79]]</f>
        <v>5936</v>
      </c>
      <c r="R15" s="5">
        <f>Table34101112131814[[#This Row],[  80-84]]-Table341011121318[[#This Row],[  80-84]]</f>
        <v>3733</v>
      </c>
      <c r="S15" s="5">
        <f>Table34101112131814[[#This Row],[  85-89]]-Table341011121318[[#This Row],[  85-89]]</f>
        <v>1770</v>
      </c>
      <c r="T15" s="5">
        <f>Table34101112131814[[#This Row],[  90+]]-Table341011121318[[#This Row],[  90+]]</f>
        <v>818</v>
      </c>
    </row>
    <row r="16" spans="1:20" x14ac:dyDescent="0.2">
      <c r="A16" s="9" t="s">
        <v>5</v>
      </c>
      <c r="B16" s="6" t="s">
        <v>23</v>
      </c>
      <c r="C16" s="5">
        <f>Table34101112131814[[#This Row],[Total]]-Table341011121318[[#This Row],[Total]]</f>
        <v>246081</v>
      </c>
      <c r="D16" s="5">
        <f>Table34101112131814[[#This Row],[  5-11]]-Table341011121318[[#This Row],[  5-11]]</f>
        <v>24776</v>
      </c>
      <c r="E16" s="5">
        <f>Table34101112131814[[#This Row],[  12-17]]-Table341011121318[[#This Row],[  12-17]]</f>
        <v>20723</v>
      </c>
      <c r="F16" s="5">
        <f>Table34101112131814[[#This Row],[  18-24]]-Table341011121318[[#This Row],[  18-24]]</f>
        <v>23205</v>
      </c>
      <c r="G16" s="5">
        <f>Table34101112131814[[#This Row],[  25-29 ]]-Table341011121318[[#This Row],[  25-29 ]]</f>
        <v>20008</v>
      </c>
      <c r="H16" s="5">
        <f>Table34101112131814[[#This Row],[  30-34]]-Table341011121318[[#This Row],[  30-34]]</f>
        <v>22045</v>
      </c>
      <c r="I16" s="5">
        <f>Table34101112131814[[#This Row],[  35-39]]-Table341011121318[[#This Row],[  35-39]]</f>
        <v>20091</v>
      </c>
      <c r="J16" s="5">
        <f>Table34101112131814[[#This Row],[  40-44]]-Table341011121318[[#This Row],[  40-44]]</f>
        <v>17428</v>
      </c>
      <c r="K16" s="5">
        <f>Table34101112131814[[#This Row],[  45-49 ]]-Table341011121318[[#This Row],[  45-49 ]]</f>
        <v>16282</v>
      </c>
      <c r="L16" s="5">
        <f>Table34101112131814[[#This Row],[  50-54]]-Table341011121318[[#This Row],[  50-54]]</f>
        <v>16553</v>
      </c>
      <c r="M16" s="5">
        <f>Table34101112131814[[#This Row],[  55-59]]-Table341011121318[[#This Row],[  55-59]]</f>
        <v>15439</v>
      </c>
      <c r="N16" s="5">
        <f>Table34101112131814[[#This Row],[  60-64]]-Table341011121318[[#This Row],[  60-64]]</f>
        <v>13616</v>
      </c>
      <c r="O16" s="5">
        <f>Table34101112131814[[#This Row],[  65-69]]-Table341011121318[[#This Row],[  65-69]]</f>
        <v>11521</v>
      </c>
      <c r="P16" s="5">
        <f>Table34101112131814[[#This Row],[  70-74]]-Table341011121318[[#This Row],[  70-74]]</f>
        <v>9218</v>
      </c>
      <c r="Q16" s="5">
        <f>Table34101112131814[[#This Row],[  75-79]]-Table341011121318[[#This Row],[  75-79]]</f>
        <v>6567</v>
      </c>
      <c r="R16" s="5">
        <f>Table34101112131814[[#This Row],[  80-84]]-Table341011121318[[#This Row],[  80-84]]</f>
        <v>4632</v>
      </c>
      <c r="S16" s="5">
        <f>Table34101112131814[[#This Row],[  85-89]]-Table341011121318[[#This Row],[  85-89]]</f>
        <v>2481</v>
      </c>
      <c r="T16" s="5">
        <f>Table34101112131814[[#This Row],[  90+]]-Table341011121318[[#This Row],[  90+]]</f>
        <v>1496</v>
      </c>
    </row>
    <row r="17" spans="1:20" x14ac:dyDescent="0.2">
      <c r="A17" s="12" t="s">
        <v>6</v>
      </c>
      <c r="B17" s="6" t="s">
        <v>22</v>
      </c>
      <c r="C17" s="5">
        <f>Table34101112131814[[#This Row],[Total]]-Table341011121318[[#This Row],[Total]]</f>
        <v>127536</v>
      </c>
      <c r="D17" s="5">
        <f>Table34101112131814[[#This Row],[  5-11]]-Table341011121318[[#This Row],[  5-11]]</f>
        <v>10167</v>
      </c>
      <c r="E17" s="5">
        <f>Table34101112131814[[#This Row],[  12-17]]-Table341011121318[[#This Row],[  12-17]]</f>
        <v>9497</v>
      </c>
      <c r="F17" s="5">
        <f>Table34101112131814[[#This Row],[  18-24]]-Table341011121318[[#This Row],[  18-24]]</f>
        <v>9032</v>
      </c>
      <c r="G17" s="5">
        <f>Table34101112131814[[#This Row],[  25-29 ]]-Table341011121318[[#This Row],[  25-29 ]]</f>
        <v>7771</v>
      </c>
      <c r="H17" s="5">
        <f>Table34101112131814[[#This Row],[  30-34]]-Table341011121318[[#This Row],[  30-34]]</f>
        <v>8797</v>
      </c>
      <c r="I17" s="5">
        <f>Table34101112131814[[#This Row],[  35-39]]-Table341011121318[[#This Row],[  35-39]]</f>
        <v>7817</v>
      </c>
      <c r="J17" s="5">
        <f>Table34101112131814[[#This Row],[  40-44]]-Table341011121318[[#This Row],[  40-44]]</f>
        <v>7707</v>
      </c>
      <c r="K17" s="5">
        <f>Table34101112131814[[#This Row],[  45-49 ]]-Table341011121318[[#This Row],[  45-49 ]]</f>
        <v>8620</v>
      </c>
      <c r="L17" s="5">
        <f>Table34101112131814[[#This Row],[  50-54]]-Table341011121318[[#This Row],[  50-54]]</f>
        <v>9212</v>
      </c>
      <c r="M17" s="5">
        <f>Table34101112131814[[#This Row],[  55-59]]-Table341011121318[[#This Row],[  55-59]]</f>
        <v>9374</v>
      </c>
      <c r="N17" s="5">
        <f>Table34101112131814[[#This Row],[  60-64]]-Table341011121318[[#This Row],[  60-64]]</f>
        <v>9433</v>
      </c>
      <c r="O17" s="5">
        <f>Table34101112131814[[#This Row],[  65-69]]-Table341011121318[[#This Row],[  65-69]]</f>
        <v>8531</v>
      </c>
      <c r="P17" s="5">
        <f>Table34101112131814[[#This Row],[  70-74]]-Table341011121318[[#This Row],[  70-74]]</f>
        <v>8110</v>
      </c>
      <c r="Q17" s="5">
        <f>Table34101112131814[[#This Row],[  75-79]]-Table341011121318[[#This Row],[  75-79]]</f>
        <v>5953</v>
      </c>
      <c r="R17" s="5">
        <f>Table34101112131814[[#This Row],[  80-84]]-Table341011121318[[#This Row],[  80-84]]</f>
        <v>4048</v>
      </c>
      <c r="S17" s="5">
        <f>Table34101112131814[[#This Row],[  85-89]]-Table341011121318[[#This Row],[  85-89]]</f>
        <v>2210</v>
      </c>
      <c r="T17" s="5">
        <f>Table34101112131814[[#This Row],[  90+]]-Table341011121318[[#This Row],[  90+]]</f>
        <v>1257</v>
      </c>
    </row>
    <row r="18" spans="1:20" x14ac:dyDescent="0.2">
      <c r="A18" s="9" t="s">
        <v>6</v>
      </c>
      <c r="B18" s="6" t="s">
        <v>0</v>
      </c>
      <c r="C18" s="5">
        <f>Table34101112131814[[#This Row],[Total]]-Table341011121318[[#This Row],[Total]]</f>
        <v>63260</v>
      </c>
      <c r="D18" s="5">
        <f>Table34101112131814[[#This Row],[  5-11]]-Table341011121318[[#This Row],[  5-11]]</f>
        <v>5104</v>
      </c>
      <c r="E18" s="5">
        <f>Table34101112131814[[#This Row],[  12-17]]-Table341011121318[[#This Row],[  12-17]]</f>
        <v>4839</v>
      </c>
      <c r="F18" s="5">
        <f>Table34101112131814[[#This Row],[  18-24]]-Table341011121318[[#This Row],[  18-24]]</f>
        <v>4870</v>
      </c>
      <c r="G18" s="5">
        <f>Table34101112131814[[#This Row],[  25-29 ]]-Table341011121318[[#This Row],[  25-29 ]]</f>
        <v>4118</v>
      </c>
      <c r="H18" s="5">
        <f>Table34101112131814[[#This Row],[  30-34]]-Table341011121318[[#This Row],[  30-34]]</f>
        <v>4504</v>
      </c>
      <c r="I18" s="5">
        <f>Table34101112131814[[#This Row],[  35-39]]-Table341011121318[[#This Row],[  35-39]]</f>
        <v>4032</v>
      </c>
      <c r="J18" s="5">
        <f>Table34101112131814[[#This Row],[  40-44]]-Table341011121318[[#This Row],[  40-44]]</f>
        <v>3852</v>
      </c>
      <c r="K18" s="5">
        <f>Table34101112131814[[#This Row],[  45-49 ]]-Table341011121318[[#This Row],[  45-49 ]]</f>
        <v>4243</v>
      </c>
      <c r="L18" s="5">
        <f>Table34101112131814[[#This Row],[  50-54]]-Table341011121318[[#This Row],[  50-54]]</f>
        <v>4479</v>
      </c>
      <c r="M18" s="5">
        <f>Table34101112131814[[#This Row],[  55-59]]-Table341011121318[[#This Row],[  55-59]]</f>
        <v>4555</v>
      </c>
      <c r="N18" s="5">
        <f>Table34101112131814[[#This Row],[  60-64]]-Table341011121318[[#This Row],[  60-64]]</f>
        <v>4601</v>
      </c>
      <c r="O18" s="5">
        <f>Table34101112131814[[#This Row],[  65-69]]-Table341011121318[[#This Row],[  65-69]]</f>
        <v>4089</v>
      </c>
      <c r="P18" s="5">
        <f>Table34101112131814[[#This Row],[  70-74]]-Table341011121318[[#This Row],[  70-74]]</f>
        <v>3912</v>
      </c>
      <c r="Q18" s="5">
        <f>Table34101112131814[[#This Row],[  75-79]]-Table341011121318[[#This Row],[  75-79]]</f>
        <v>2844</v>
      </c>
      <c r="R18" s="5">
        <f>Table34101112131814[[#This Row],[  80-84]]-Table341011121318[[#This Row],[  80-84]]</f>
        <v>1832</v>
      </c>
      <c r="S18" s="5">
        <f>Table34101112131814[[#This Row],[  85-89]]-Table341011121318[[#This Row],[  85-89]]</f>
        <v>928</v>
      </c>
      <c r="T18" s="5">
        <f>Table34101112131814[[#This Row],[  90+]]-Table341011121318[[#This Row],[  90+]]</f>
        <v>458</v>
      </c>
    </row>
    <row r="19" spans="1:20" x14ac:dyDescent="0.2">
      <c r="A19" s="9" t="s">
        <v>6</v>
      </c>
      <c r="B19" s="6" t="s">
        <v>23</v>
      </c>
      <c r="C19" s="5">
        <f>Table34101112131814[[#This Row],[Total]]-Table341011121318[[#This Row],[Total]]</f>
        <v>64276</v>
      </c>
      <c r="D19" s="5">
        <f>Table34101112131814[[#This Row],[  5-11]]-Table341011121318[[#This Row],[  5-11]]</f>
        <v>5063</v>
      </c>
      <c r="E19" s="5">
        <f>Table34101112131814[[#This Row],[  12-17]]-Table341011121318[[#This Row],[  12-17]]</f>
        <v>4658</v>
      </c>
      <c r="F19" s="5">
        <f>Table34101112131814[[#This Row],[  18-24]]-Table341011121318[[#This Row],[  18-24]]</f>
        <v>4162</v>
      </c>
      <c r="G19" s="5">
        <f>Table34101112131814[[#This Row],[  25-29 ]]-Table341011121318[[#This Row],[  25-29 ]]</f>
        <v>3653</v>
      </c>
      <c r="H19" s="5">
        <f>Table34101112131814[[#This Row],[  30-34]]-Table341011121318[[#This Row],[  30-34]]</f>
        <v>4293</v>
      </c>
      <c r="I19" s="5">
        <f>Table34101112131814[[#This Row],[  35-39]]-Table341011121318[[#This Row],[  35-39]]</f>
        <v>3785</v>
      </c>
      <c r="J19" s="5">
        <f>Table34101112131814[[#This Row],[  40-44]]-Table341011121318[[#This Row],[  40-44]]</f>
        <v>3855</v>
      </c>
      <c r="K19" s="5">
        <f>Table34101112131814[[#This Row],[  45-49 ]]-Table341011121318[[#This Row],[  45-49 ]]</f>
        <v>4377</v>
      </c>
      <c r="L19" s="5">
        <f>Table34101112131814[[#This Row],[  50-54]]-Table341011121318[[#This Row],[  50-54]]</f>
        <v>4733</v>
      </c>
      <c r="M19" s="5">
        <f>Table34101112131814[[#This Row],[  55-59]]-Table341011121318[[#This Row],[  55-59]]</f>
        <v>4819</v>
      </c>
      <c r="N19" s="5">
        <f>Table34101112131814[[#This Row],[  60-64]]-Table341011121318[[#This Row],[  60-64]]</f>
        <v>4832</v>
      </c>
      <c r="O19" s="5">
        <f>Table34101112131814[[#This Row],[  65-69]]-Table341011121318[[#This Row],[  65-69]]</f>
        <v>4442</v>
      </c>
      <c r="P19" s="5">
        <f>Table34101112131814[[#This Row],[  70-74]]-Table341011121318[[#This Row],[  70-74]]</f>
        <v>4198</v>
      </c>
      <c r="Q19" s="5">
        <f>Table34101112131814[[#This Row],[  75-79]]-Table341011121318[[#This Row],[  75-79]]</f>
        <v>3109</v>
      </c>
      <c r="R19" s="5">
        <f>Table34101112131814[[#This Row],[  80-84]]-Table341011121318[[#This Row],[  80-84]]</f>
        <v>2216</v>
      </c>
      <c r="S19" s="5">
        <f>Table34101112131814[[#This Row],[  85-89]]-Table341011121318[[#This Row],[  85-89]]</f>
        <v>1282</v>
      </c>
      <c r="T19" s="5">
        <f>Table34101112131814[[#This Row],[  90+]]-Table341011121318[[#This Row],[  90+]]</f>
        <v>799</v>
      </c>
    </row>
    <row r="20" spans="1:20" x14ac:dyDescent="0.2">
      <c r="A20" s="9" t="s">
        <v>7</v>
      </c>
      <c r="B20" s="6" t="s">
        <v>22</v>
      </c>
      <c r="C20" s="5">
        <f>Table34101112131814[[#This Row],[Total]]-Table341011121318[[#This Row],[Total]]</f>
        <v>125528</v>
      </c>
      <c r="D20" s="5">
        <f>Table34101112131814[[#This Row],[  5-11]]-Table341011121318[[#This Row],[  5-11]]</f>
        <v>10972</v>
      </c>
      <c r="E20" s="5">
        <f>Table34101112131814[[#This Row],[  12-17]]-Table341011121318[[#This Row],[  12-17]]</f>
        <v>9205</v>
      </c>
      <c r="F20" s="5">
        <f>Table34101112131814[[#This Row],[  18-24]]-Table341011121318[[#This Row],[  18-24]]</f>
        <v>9774</v>
      </c>
      <c r="G20" s="5">
        <f>Table34101112131814[[#This Row],[  25-29 ]]-Table341011121318[[#This Row],[  25-29 ]]</f>
        <v>8765</v>
      </c>
      <c r="H20" s="5">
        <f>Table34101112131814[[#This Row],[  30-34]]-Table341011121318[[#This Row],[  30-34]]</f>
        <v>10650</v>
      </c>
      <c r="I20" s="5">
        <f>Table34101112131814[[#This Row],[  35-39]]-Table341011121318[[#This Row],[  35-39]]</f>
        <v>10203</v>
      </c>
      <c r="J20" s="5">
        <f>Table34101112131814[[#This Row],[  40-44]]-Table341011121318[[#This Row],[  40-44]]</f>
        <v>9160</v>
      </c>
      <c r="K20" s="5">
        <f>Table34101112131814[[#This Row],[  45-49 ]]-Table341011121318[[#This Row],[  45-49 ]]</f>
        <v>8926</v>
      </c>
      <c r="L20" s="5">
        <f>Table34101112131814[[#This Row],[  50-54]]-Table341011121318[[#This Row],[  50-54]]</f>
        <v>9296</v>
      </c>
      <c r="M20" s="5">
        <f>Table34101112131814[[#This Row],[  55-59]]-Table341011121318[[#This Row],[  55-59]]</f>
        <v>8547</v>
      </c>
      <c r="N20" s="5">
        <f>Table34101112131814[[#This Row],[  60-64]]-Table341011121318[[#This Row],[  60-64]]</f>
        <v>8237</v>
      </c>
      <c r="O20" s="5">
        <f>Table34101112131814[[#This Row],[  65-69]]-Table341011121318[[#This Row],[  65-69]]</f>
        <v>6587</v>
      </c>
      <c r="P20" s="5">
        <f>Table34101112131814[[#This Row],[  70-74]]-Table341011121318[[#This Row],[  70-74]]</f>
        <v>5583</v>
      </c>
      <c r="Q20" s="5">
        <f>Table34101112131814[[#This Row],[  75-79]]-Table341011121318[[#This Row],[  75-79]]</f>
        <v>4028</v>
      </c>
      <c r="R20" s="5">
        <f>Table34101112131814[[#This Row],[  80-84]]-Table341011121318[[#This Row],[  80-84]]</f>
        <v>2992</v>
      </c>
      <c r="S20" s="5">
        <f>Table34101112131814[[#This Row],[  85-89]]-Table341011121318[[#This Row],[  85-89]]</f>
        <v>1624</v>
      </c>
      <c r="T20" s="5">
        <f>Table34101112131814[[#This Row],[  90+]]-Table341011121318[[#This Row],[  90+]]</f>
        <v>979</v>
      </c>
    </row>
    <row r="21" spans="1:20" x14ac:dyDescent="0.2">
      <c r="A21" s="9" t="s">
        <v>7</v>
      </c>
      <c r="B21" s="6" t="s">
        <v>0</v>
      </c>
      <c r="C21" s="5">
        <f>Table34101112131814[[#This Row],[Total]]-Table341011121318[[#This Row],[Total]]</f>
        <v>61972</v>
      </c>
      <c r="D21" s="5">
        <f>Table34101112131814[[#This Row],[  5-11]]-Table341011121318[[#This Row],[  5-11]]</f>
        <v>5537</v>
      </c>
      <c r="E21" s="5">
        <f>Table34101112131814[[#This Row],[  12-17]]-Table341011121318[[#This Row],[  12-17]]</f>
        <v>4718</v>
      </c>
      <c r="F21" s="5">
        <f>Table34101112131814[[#This Row],[  18-24]]-Table341011121318[[#This Row],[  18-24]]</f>
        <v>5133</v>
      </c>
      <c r="G21" s="5">
        <f>Table34101112131814[[#This Row],[  25-29 ]]-Table341011121318[[#This Row],[  25-29 ]]</f>
        <v>4463</v>
      </c>
      <c r="H21" s="5">
        <f>Table34101112131814[[#This Row],[  30-34]]-Table341011121318[[#This Row],[  30-34]]</f>
        <v>5115</v>
      </c>
      <c r="I21" s="5">
        <f>Table34101112131814[[#This Row],[  35-39]]-Table341011121318[[#This Row],[  35-39]]</f>
        <v>5057</v>
      </c>
      <c r="J21" s="5">
        <f>Table34101112131814[[#This Row],[  40-44]]-Table341011121318[[#This Row],[  40-44]]</f>
        <v>4563</v>
      </c>
      <c r="K21" s="5">
        <f>Table34101112131814[[#This Row],[  45-49 ]]-Table341011121318[[#This Row],[  45-49 ]]</f>
        <v>4440</v>
      </c>
      <c r="L21" s="5">
        <f>Table34101112131814[[#This Row],[  50-54]]-Table341011121318[[#This Row],[  50-54]]</f>
        <v>4671</v>
      </c>
      <c r="M21" s="5">
        <f>Table34101112131814[[#This Row],[  55-59]]-Table341011121318[[#This Row],[  55-59]]</f>
        <v>4188</v>
      </c>
      <c r="N21" s="5">
        <f>Table34101112131814[[#This Row],[  60-64]]-Table341011121318[[#This Row],[  60-64]]</f>
        <v>4057</v>
      </c>
      <c r="O21" s="5">
        <f>Table34101112131814[[#This Row],[  65-69]]-Table341011121318[[#This Row],[  65-69]]</f>
        <v>3263</v>
      </c>
      <c r="P21" s="5">
        <f>Table34101112131814[[#This Row],[  70-74]]-Table341011121318[[#This Row],[  70-74]]</f>
        <v>2691</v>
      </c>
      <c r="Q21" s="5">
        <f>Table34101112131814[[#This Row],[  75-79]]-Table341011121318[[#This Row],[  75-79]]</f>
        <v>1816</v>
      </c>
      <c r="R21" s="5">
        <f>Table34101112131814[[#This Row],[  80-84]]-Table341011121318[[#This Row],[  80-84]]</f>
        <v>1306</v>
      </c>
      <c r="S21" s="5">
        <f>Table34101112131814[[#This Row],[  85-89]]-Table341011121318[[#This Row],[  85-89]]</f>
        <v>635</v>
      </c>
      <c r="T21" s="5">
        <f>Table34101112131814[[#This Row],[  90+]]-Table341011121318[[#This Row],[  90+]]</f>
        <v>319</v>
      </c>
    </row>
    <row r="22" spans="1:20" x14ac:dyDescent="0.2">
      <c r="A22" s="9" t="s">
        <v>7</v>
      </c>
      <c r="B22" s="6" t="s">
        <v>23</v>
      </c>
      <c r="C22" s="5">
        <f>Table34101112131814[[#This Row],[Total]]-Table341011121318[[#This Row],[Total]]</f>
        <v>63556</v>
      </c>
      <c r="D22" s="5">
        <f>Table34101112131814[[#This Row],[  5-11]]-Table341011121318[[#This Row],[  5-11]]</f>
        <v>5435</v>
      </c>
      <c r="E22" s="5">
        <f>Table34101112131814[[#This Row],[  12-17]]-Table341011121318[[#This Row],[  12-17]]</f>
        <v>4487</v>
      </c>
      <c r="F22" s="5">
        <f>Table34101112131814[[#This Row],[  18-24]]-Table341011121318[[#This Row],[  18-24]]</f>
        <v>4641</v>
      </c>
      <c r="G22" s="5">
        <f>Table34101112131814[[#This Row],[  25-29 ]]-Table341011121318[[#This Row],[  25-29 ]]</f>
        <v>4302</v>
      </c>
      <c r="H22" s="5">
        <f>Table34101112131814[[#This Row],[  30-34]]-Table341011121318[[#This Row],[  30-34]]</f>
        <v>5535</v>
      </c>
      <c r="I22" s="5">
        <f>Table34101112131814[[#This Row],[  35-39]]-Table341011121318[[#This Row],[  35-39]]</f>
        <v>5146</v>
      </c>
      <c r="J22" s="5">
        <f>Table34101112131814[[#This Row],[  40-44]]-Table341011121318[[#This Row],[  40-44]]</f>
        <v>4597</v>
      </c>
      <c r="K22" s="5">
        <f>Table34101112131814[[#This Row],[  45-49 ]]-Table341011121318[[#This Row],[  45-49 ]]</f>
        <v>4486</v>
      </c>
      <c r="L22" s="5">
        <f>Table34101112131814[[#This Row],[  50-54]]-Table341011121318[[#This Row],[  50-54]]</f>
        <v>4625</v>
      </c>
      <c r="M22" s="5">
        <f>Table34101112131814[[#This Row],[  55-59]]-Table341011121318[[#This Row],[  55-59]]</f>
        <v>4359</v>
      </c>
      <c r="N22" s="5">
        <f>Table34101112131814[[#This Row],[  60-64]]-Table341011121318[[#This Row],[  60-64]]</f>
        <v>4180</v>
      </c>
      <c r="O22" s="5">
        <f>Table34101112131814[[#This Row],[  65-69]]-Table341011121318[[#This Row],[  65-69]]</f>
        <v>3324</v>
      </c>
      <c r="P22" s="5">
        <f>Table34101112131814[[#This Row],[  70-74]]-Table341011121318[[#This Row],[  70-74]]</f>
        <v>2892</v>
      </c>
      <c r="Q22" s="5">
        <f>Table34101112131814[[#This Row],[  75-79]]-Table341011121318[[#This Row],[  75-79]]</f>
        <v>2212</v>
      </c>
      <c r="R22" s="5">
        <f>Table34101112131814[[#This Row],[  80-84]]-Table341011121318[[#This Row],[  80-84]]</f>
        <v>1686</v>
      </c>
      <c r="S22" s="5">
        <f>Table34101112131814[[#This Row],[  85-89]]-Table341011121318[[#This Row],[  85-89]]</f>
        <v>989</v>
      </c>
      <c r="T22" s="5">
        <f>Table34101112131814[[#This Row],[  90+]]-Table341011121318[[#This Row],[  90+]]</f>
        <v>660</v>
      </c>
    </row>
    <row r="23" spans="1:20" x14ac:dyDescent="0.2">
      <c r="A23" s="9" t="s">
        <v>8</v>
      </c>
      <c r="B23" s="6" t="s">
        <v>22</v>
      </c>
      <c r="C23" s="5">
        <f>Table34101112131814[[#This Row],[Total]]-Table341011121318[[#This Row],[Total]]</f>
        <v>72815</v>
      </c>
      <c r="D23" s="5">
        <f>Table34101112131814[[#This Row],[  5-11]]-Table341011121318[[#This Row],[  5-11]]</f>
        <v>5917</v>
      </c>
      <c r="E23" s="5">
        <f>Table34101112131814[[#This Row],[  12-17]]-Table341011121318[[#This Row],[  12-17]]</f>
        <v>5226</v>
      </c>
      <c r="F23" s="5">
        <f>Table34101112131814[[#This Row],[  18-24]]-Table341011121318[[#This Row],[  18-24]]</f>
        <v>5073</v>
      </c>
      <c r="G23" s="5">
        <f>Table34101112131814[[#This Row],[  25-29 ]]-Table341011121318[[#This Row],[  25-29 ]]</f>
        <v>4643</v>
      </c>
      <c r="H23" s="5">
        <f>Table34101112131814[[#This Row],[  30-34]]-Table341011121318[[#This Row],[  30-34]]</f>
        <v>5327</v>
      </c>
      <c r="I23" s="5">
        <f>Table34101112131814[[#This Row],[  35-39]]-Table341011121318[[#This Row],[  35-39]]</f>
        <v>4898</v>
      </c>
      <c r="J23" s="5">
        <f>Table34101112131814[[#This Row],[  40-44]]-Table341011121318[[#This Row],[  40-44]]</f>
        <v>4549</v>
      </c>
      <c r="K23" s="5">
        <f>Table34101112131814[[#This Row],[  45-49 ]]-Table341011121318[[#This Row],[  45-49 ]]</f>
        <v>4929</v>
      </c>
      <c r="L23" s="5">
        <f>Table34101112131814[[#This Row],[  50-54]]-Table341011121318[[#This Row],[  50-54]]</f>
        <v>5231</v>
      </c>
      <c r="M23" s="5">
        <f>Table34101112131814[[#This Row],[  55-59]]-Table341011121318[[#This Row],[  55-59]]</f>
        <v>5391</v>
      </c>
      <c r="N23" s="5">
        <f>Table34101112131814[[#This Row],[  60-64]]-Table341011121318[[#This Row],[  60-64]]</f>
        <v>5284</v>
      </c>
      <c r="O23" s="5">
        <f>Table34101112131814[[#This Row],[  65-69]]-Table341011121318[[#This Row],[  65-69]]</f>
        <v>4755</v>
      </c>
      <c r="P23" s="5">
        <f>Table34101112131814[[#This Row],[  70-74]]-Table341011121318[[#This Row],[  70-74]]</f>
        <v>4544</v>
      </c>
      <c r="Q23" s="5">
        <f>Table34101112131814[[#This Row],[  75-79]]-Table341011121318[[#This Row],[  75-79]]</f>
        <v>3138</v>
      </c>
      <c r="R23" s="5">
        <f>Table34101112131814[[#This Row],[  80-84]]-Table341011121318[[#This Row],[  80-84]]</f>
        <v>2178</v>
      </c>
      <c r="S23" s="5">
        <f>Table34101112131814[[#This Row],[  85-89]]-Table341011121318[[#This Row],[  85-89]]</f>
        <v>1097</v>
      </c>
      <c r="T23" s="5">
        <f>Table34101112131814[[#This Row],[  90+]]-Table341011121318[[#This Row],[  90+]]</f>
        <v>635</v>
      </c>
    </row>
    <row r="24" spans="1:20" x14ac:dyDescent="0.2">
      <c r="A24" s="9" t="s">
        <v>8</v>
      </c>
      <c r="B24" s="6" t="s">
        <v>0</v>
      </c>
      <c r="C24" s="5">
        <f>Table34101112131814[[#This Row],[Total]]-Table341011121318[[#This Row],[Total]]</f>
        <v>36402</v>
      </c>
      <c r="D24" s="5">
        <f>Table34101112131814[[#This Row],[  5-11]]-Table341011121318[[#This Row],[  5-11]]</f>
        <v>3078</v>
      </c>
      <c r="E24" s="5">
        <f>Table34101112131814[[#This Row],[  12-17]]-Table341011121318[[#This Row],[  12-17]]</f>
        <v>2746</v>
      </c>
      <c r="F24" s="5">
        <f>Table34101112131814[[#This Row],[  18-24]]-Table341011121318[[#This Row],[  18-24]]</f>
        <v>2753</v>
      </c>
      <c r="G24" s="5">
        <f>Table34101112131814[[#This Row],[  25-29 ]]-Table341011121318[[#This Row],[  25-29 ]]</f>
        <v>2429</v>
      </c>
      <c r="H24" s="5">
        <f>Table34101112131814[[#This Row],[  30-34]]-Table341011121318[[#This Row],[  30-34]]</f>
        <v>2605</v>
      </c>
      <c r="I24" s="5">
        <f>Table34101112131814[[#This Row],[  35-39]]-Table341011121318[[#This Row],[  35-39]]</f>
        <v>2444</v>
      </c>
      <c r="J24" s="5">
        <f>Table34101112131814[[#This Row],[  40-44]]-Table341011121318[[#This Row],[  40-44]]</f>
        <v>2215</v>
      </c>
      <c r="K24" s="5">
        <f>Table34101112131814[[#This Row],[  45-49 ]]-Table341011121318[[#This Row],[  45-49 ]]</f>
        <v>2440</v>
      </c>
      <c r="L24" s="5">
        <f>Table34101112131814[[#This Row],[  50-54]]-Table341011121318[[#This Row],[  50-54]]</f>
        <v>2584</v>
      </c>
      <c r="M24" s="5">
        <f>Table34101112131814[[#This Row],[  55-59]]-Table341011121318[[#This Row],[  55-59]]</f>
        <v>2650</v>
      </c>
      <c r="N24" s="5">
        <f>Table34101112131814[[#This Row],[  60-64]]-Table341011121318[[#This Row],[  60-64]]</f>
        <v>2592</v>
      </c>
      <c r="O24" s="5">
        <f>Table34101112131814[[#This Row],[  65-69]]-Table341011121318[[#This Row],[  65-69]]</f>
        <v>2332</v>
      </c>
      <c r="P24" s="5">
        <f>Table34101112131814[[#This Row],[  70-74]]-Table341011121318[[#This Row],[  70-74]]</f>
        <v>2248</v>
      </c>
      <c r="Q24" s="5">
        <f>Table34101112131814[[#This Row],[  75-79]]-Table341011121318[[#This Row],[  75-79]]</f>
        <v>1557</v>
      </c>
      <c r="R24" s="5">
        <f>Table34101112131814[[#This Row],[  80-84]]-Table341011121318[[#This Row],[  80-84]]</f>
        <v>1044</v>
      </c>
      <c r="S24" s="5">
        <f>Table34101112131814[[#This Row],[  85-89]]-Table341011121318[[#This Row],[  85-89]]</f>
        <v>463</v>
      </c>
      <c r="T24" s="5">
        <f>Table34101112131814[[#This Row],[  90+]]-Table341011121318[[#This Row],[  90+]]</f>
        <v>222</v>
      </c>
    </row>
    <row r="25" spans="1:20" x14ac:dyDescent="0.2">
      <c r="A25" s="9" t="s">
        <v>8</v>
      </c>
      <c r="B25" s="6" t="s">
        <v>23</v>
      </c>
      <c r="C25" s="5">
        <f>Table34101112131814[[#This Row],[Total]]-Table341011121318[[#This Row],[Total]]</f>
        <v>36413</v>
      </c>
      <c r="D25" s="5">
        <f>Table34101112131814[[#This Row],[  5-11]]-Table341011121318[[#This Row],[  5-11]]</f>
        <v>2839</v>
      </c>
      <c r="E25" s="5">
        <f>Table34101112131814[[#This Row],[  12-17]]-Table341011121318[[#This Row],[  12-17]]</f>
        <v>2480</v>
      </c>
      <c r="F25" s="5">
        <f>Table34101112131814[[#This Row],[  18-24]]-Table341011121318[[#This Row],[  18-24]]</f>
        <v>2320</v>
      </c>
      <c r="G25" s="5">
        <f>Table34101112131814[[#This Row],[  25-29 ]]-Table341011121318[[#This Row],[  25-29 ]]</f>
        <v>2214</v>
      </c>
      <c r="H25" s="5">
        <f>Table34101112131814[[#This Row],[  30-34]]-Table341011121318[[#This Row],[  30-34]]</f>
        <v>2722</v>
      </c>
      <c r="I25" s="5">
        <f>Table34101112131814[[#This Row],[  35-39]]-Table341011121318[[#This Row],[  35-39]]</f>
        <v>2454</v>
      </c>
      <c r="J25" s="5">
        <f>Table34101112131814[[#This Row],[  40-44]]-Table341011121318[[#This Row],[  40-44]]</f>
        <v>2334</v>
      </c>
      <c r="K25" s="5">
        <f>Table34101112131814[[#This Row],[  45-49 ]]-Table341011121318[[#This Row],[  45-49 ]]</f>
        <v>2489</v>
      </c>
      <c r="L25" s="5">
        <f>Table34101112131814[[#This Row],[  50-54]]-Table341011121318[[#This Row],[  50-54]]</f>
        <v>2647</v>
      </c>
      <c r="M25" s="5">
        <f>Table34101112131814[[#This Row],[  55-59]]-Table341011121318[[#This Row],[  55-59]]</f>
        <v>2741</v>
      </c>
      <c r="N25" s="5">
        <f>Table34101112131814[[#This Row],[  60-64]]-Table341011121318[[#This Row],[  60-64]]</f>
        <v>2692</v>
      </c>
      <c r="O25" s="5">
        <f>Table34101112131814[[#This Row],[  65-69]]-Table341011121318[[#This Row],[  65-69]]</f>
        <v>2423</v>
      </c>
      <c r="P25" s="5">
        <f>Table34101112131814[[#This Row],[  70-74]]-Table341011121318[[#This Row],[  70-74]]</f>
        <v>2296</v>
      </c>
      <c r="Q25" s="5">
        <f>Table34101112131814[[#This Row],[  75-79]]-Table341011121318[[#This Row],[  75-79]]</f>
        <v>1581</v>
      </c>
      <c r="R25" s="5">
        <f>Table34101112131814[[#This Row],[  80-84]]-Table341011121318[[#This Row],[  80-84]]</f>
        <v>1134</v>
      </c>
      <c r="S25" s="5">
        <f>Table34101112131814[[#This Row],[  85-89]]-Table341011121318[[#This Row],[  85-89]]</f>
        <v>634</v>
      </c>
      <c r="T25" s="5">
        <f>Table34101112131814[[#This Row],[  90+]]-Table341011121318[[#This Row],[  90+]]</f>
        <v>413</v>
      </c>
    </row>
    <row r="26" spans="1:20" x14ac:dyDescent="0.2">
      <c r="A26" s="9" t="s">
        <v>9</v>
      </c>
      <c r="B26" s="6" t="s">
        <v>22</v>
      </c>
      <c r="C26" s="5">
        <f>Table34101112131814[[#This Row],[Total]]-Table341011121318[[#This Row],[Total]]</f>
        <v>145579</v>
      </c>
      <c r="D26" s="5">
        <f>Table34101112131814[[#This Row],[  5-11]]-Table341011121318[[#This Row],[  5-11]]</f>
        <v>11955</v>
      </c>
      <c r="E26" s="5">
        <f>Table34101112131814[[#This Row],[  12-17]]-Table341011121318[[#This Row],[  12-17]]</f>
        <v>10961</v>
      </c>
      <c r="F26" s="5">
        <f>Table34101112131814[[#This Row],[  18-24]]-Table341011121318[[#This Row],[  18-24]]</f>
        <v>12852</v>
      </c>
      <c r="G26" s="5">
        <f>Table34101112131814[[#This Row],[  25-29 ]]-Table341011121318[[#This Row],[  25-29 ]]</f>
        <v>9962</v>
      </c>
      <c r="H26" s="5">
        <f>Table34101112131814[[#This Row],[  30-34]]-Table341011121318[[#This Row],[  30-34]]</f>
        <v>10191</v>
      </c>
      <c r="I26" s="5">
        <f>Table34101112131814[[#This Row],[  35-39]]-Table341011121318[[#This Row],[  35-39]]</f>
        <v>9292</v>
      </c>
      <c r="J26" s="5">
        <f>Table34101112131814[[#This Row],[  40-44]]-Table341011121318[[#This Row],[  40-44]]</f>
        <v>8632</v>
      </c>
      <c r="K26" s="5">
        <f>Table34101112131814[[#This Row],[  45-49 ]]-Table341011121318[[#This Row],[  45-49 ]]</f>
        <v>8961</v>
      </c>
      <c r="L26" s="5">
        <f>Table34101112131814[[#This Row],[  50-54]]-Table341011121318[[#This Row],[  50-54]]</f>
        <v>9899</v>
      </c>
      <c r="M26" s="5">
        <f>Table34101112131814[[#This Row],[  55-59]]-Table341011121318[[#This Row],[  55-59]]</f>
        <v>10312</v>
      </c>
      <c r="N26" s="5">
        <f>Table34101112131814[[#This Row],[  60-64]]-Table341011121318[[#This Row],[  60-64]]</f>
        <v>10405</v>
      </c>
      <c r="O26" s="5">
        <f>Table34101112131814[[#This Row],[  65-69]]-Table341011121318[[#This Row],[  65-69]]</f>
        <v>9072</v>
      </c>
      <c r="P26" s="5">
        <f>Table34101112131814[[#This Row],[  70-74]]-Table341011121318[[#This Row],[  70-74]]</f>
        <v>8559</v>
      </c>
      <c r="Q26" s="5">
        <f>Table34101112131814[[#This Row],[  75-79]]-Table341011121318[[#This Row],[  75-79]]</f>
        <v>6334</v>
      </c>
      <c r="R26" s="5">
        <f>Table34101112131814[[#This Row],[  80-84]]-Table341011121318[[#This Row],[  80-84]]</f>
        <v>4451</v>
      </c>
      <c r="S26" s="5">
        <f>Table34101112131814[[#This Row],[  85-89]]-Table341011121318[[#This Row],[  85-89]]</f>
        <v>2384</v>
      </c>
      <c r="T26" s="5">
        <f>Table34101112131814[[#This Row],[  90+]]-Table341011121318[[#This Row],[  90+]]</f>
        <v>1357</v>
      </c>
    </row>
    <row r="27" spans="1:20" x14ac:dyDescent="0.2">
      <c r="A27" s="9" t="s">
        <v>9</v>
      </c>
      <c r="B27" s="6" t="s">
        <v>0</v>
      </c>
      <c r="C27" s="5">
        <f>Table34101112131814[[#This Row],[Total]]-Table341011121318[[#This Row],[Total]]</f>
        <v>71524</v>
      </c>
      <c r="D27" s="5">
        <f>Table34101112131814[[#This Row],[  5-11]]-Table341011121318[[#This Row],[  5-11]]</f>
        <v>6143</v>
      </c>
      <c r="E27" s="5">
        <f>Table34101112131814[[#This Row],[  12-17]]-Table341011121318[[#This Row],[  12-17]]</f>
        <v>5670</v>
      </c>
      <c r="F27" s="5">
        <f>Table34101112131814[[#This Row],[  18-24]]-Table341011121318[[#This Row],[  18-24]]</f>
        <v>6475</v>
      </c>
      <c r="G27" s="5">
        <f>Table34101112131814[[#This Row],[  25-29 ]]-Table341011121318[[#This Row],[  25-29 ]]</f>
        <v>5113</v>
      </c>
      <c r="H27" s="5">
        <f>Table34101112131814[[#This Row],[  30-34]]-Table341011121318[[#This Row],[  30-34]]</f>
        <v>5023</v>
      </c>
      <c r="I27" s="5">
        <f>Table34101112131814[[#This Row],[  35-39]]-Table341011121318[[#This Row],[  35-39]]</f>
        <v>4568</v>
      </c>
      <c r="J27" s="5">
        <f>Table34101112131814[[#This Row],[  40-44]]-Table341011121318[[#This Row],[  40-44]]</f>
        <v>4256</v>
      </c>
      <c r="K27" s="5">
        <f>Table34101112131814[[#This Row],[  45-49 ]]-Table341011121318[[#This Row],[  45-49 ]]</f>
        <v>4379</v>
      </c>
      <c r="L27" s="5">
        <f>Table34101112131814[[#This Row],[  50-54]]-Table341011121318[[#This Row],[  50-54]]</f>
        <v>4745</v>
      </c>
      <c r="M27" s="5">
        <f>Table34101112131814[[#This Row],[  55-59]]-Table341011121318[[#This Row],[  55-59]]</f>
        <v>5014</v>
      </c>
      <c r="N27" s="5">
        <f>Table34101112131814[[#This Row],[  60-64]]-Table341011121318[[#This Row],[  60-64]]</f>
        <v>5113</v>
      </c>
      <c r="O27" s="5">
        <f>Table34101112131814[[#This Row],[  65-69]]-Table341011121318[[#This Row],[  65-69]]</f>
        <v>4379</v>
      </c>
      <c r="P27" s="5">
        <f>Table34101112131814[[#This Row],[  70-74]]-Table341011121318[[#This Row],[  70-74]]</f>
        <v>4079</v>
      </c>
      <c r="Q27" s="5">
        <f>Table34101112131814[[#This Row],[  75-79]]-Table341011121318[[#This Row],[  75-79]]</f>
        <v>3062</v>
      </c>
      <c r="R27" s="5">
        <f>Table34101112131814[[#This Row],[  80-84]]-Table341011121318[[#This Row],[  80-84]]</f>
        <v>2047</v>
      </c>
      <c r="S27" s="5">
        <f>Table34101112131814[[#This Row],[  85-89]]-Table341011121318[[#This Row],[  85-89]]</f>
        <v>990</v>
      </c>
      <c r="T27" s="5">
        <f>Table34101112131814[[#This Row],[  90+]]-Table341011121318[[#This Row],[  90+]]</f>
        <v>468</v>
      </c>
    </row>
    <row r="28" spans="1:20" x14ac:dyDescent="0.2">
      <c r="A28" s="9" t="s">
        <v>9</v>
      </c>
      <c r="B28" s="6" t="s">
        <v>23</v>
      </c>
      <c r="C28" s="5">
        <f>Table34101112131814[[#This Row],[Total]]-Table341011121318[[#This Row],[Total]]</f>
        <v>74055</v>
      </c>
      <c r="D28" s="5">
        <f>Table34101112131814[[#This Row],[  5-11]]-Table341011121318[[#This Row],[  5-11]]</f>
        <v>5812</v>
      </c>
      <c r="E28" s="5">
        <f>Table34101112131814[[#This Row],[  12-17]]-Table341011121318[[#This Row],[  12-17]]</f>
        <v>5291</v>
      </c>
      <c r="F28" s="5">
        <f>Table34101112131814[[#This Row],[  18-24]]-Table341011121318[[#This Row],[  18-24]]</f>
        <v>6377</v>
      </c>
      <c r="G28" s="5">
        <f>Table34101112131814[[#This Row],[  25-29 ]]-Table341011121318[[#This Row],[  25-29 ]]</f>
        <v>4849</v>
      </c>
      <c r="H28" s="5">
        <f>Table34101112131814[[#This Row],[  30-34]]-Table341011121318[[#This Row],[  30-34]]</f>
        <v>5168</v>
      </c>
      <c r="I28" s="5">
        <f>Table34101112131814[[#This Row],[  35-39]]-Table341011121318[[#This Row],[  35-39]]</f>
        <v>4724</v>
      </c>
      <c r="J28" s="5">
        <f>Table34101112131814[[#This Row],[  40-44]]-Table341011121318[[#This Row],[  40-44]]</f>
        <v>4376</v>
      </c>
      <c r="K28" s="5">
        <f>Table34101112131814[[#This Row],[  45-49 ]]-Table341011121318[[#This Row],[  45-49 ]]</f>
        <v>4582</v>
      </c>
      <c r="L28" s="5">
        <f>Table34101112131814[[#This Row],[  50-54]]-Table341011121318[[#This Row],[  50-54]]</f>
        <v>5154</v>
      </c>
      <c r="M28" s="5">
        <f>Table34101112131814[[#This Row],[  55-59]]-Table341011121318[[#This Row],[  55-59]]</f>
        <v>5298</v>
      </c>
      <c r="N28" s="5">
        <f>Table34101112131814[[#This Row],[  60-64]]-Table341011121318[[#This Row],[  60-64]]</f>
        <v>5292</v>
      </c>
      <c r="O28" s="5">
        <f>Table34101112131814[[#This Row],[  65-69]]-Table341011121318[[#This Row],[  65-69]]</f>
        <v>4693</v>
      </c>
      <c r="P28" s="5">
        <f>Table34101112131814[[#This Row],[  70-74]]-Table341011121318[[#This Row],[  70-74]]</f>
        <v>4480</v>
      </c>
      <c r="Q28" s="5">
        <f>Table34101112131814[[#This Row],[  75-79]]-Table341011121318[[#This Row],[  75-79]]</f>
        <v>3272</v>
      </c>
      <c r="R28" s="5">
        <f>Table34101112131814[[#This Row],[  80-84]]-Table341011121318[[#This Row],[  80-84]]</f>
        <v>2404</v>
      </c>
      <c r="S28" s="5">
        <f>Table34101112131814[[#This Row],[  85-89]]-Table341011121318[[#This Row],[  85-89]]</f>
        <v>1394</v>
      </c>
      <c r="T28" s="5">
        <f>Table34101112131814[[#This Row],[  90+]]-Table341011121318[[#This Row],[  90+]]</f>
        <v>889</v>
      </c>
    </row>
    <row r="29" spans="1:20" x14ac:dyDescent="0.2">
      <c r="A29" s="9" t="s">
        <v>10</v>
      </c>
      <c r="B29" s="6" t="s">
        <v>22</v>
      </c>
      <c r="C29" s="5">
        <f>Table34101112131814[[#This Row],[Total]]-Table341011121318[[#This Row],[Total]]</f>
        <v>142293</v>
      </c>
      <c r="D29" s="5">
        <f>Table34101112131814[[#This Row],[  5-11]]-Table341011121318[[#This Row],[  5-11]]</f>
        <v>10843</v>
      </c>
      <c r="E29" s="5">
        <f>Table34101112131814[[#This Row],[  12-17]]-Table341011121318[[#This Row],[  12-17]]</f>
        <v>10138</v>
      </c>
      <c r="F29" s="5">
        <f>Table34101112131814[[#This Row],[  18-24]]-Table341011121318[[#This Row],[  18-24]]</f>
        <v>9426</v>
      </c>
      <c r="G29" s="5">
        <f>Table34101112131814[[#This Row],[  25-29 ]]-Table341011121318[[#This Row],[  25-29 ]]</f>
        <v>8003</v>
      </c>
      <c r="H29" s="5">
        <f>Table34101112131814[[#This Row],[  30-34]]-Table341011121318[[#This Row],[  30-34]]</f>
        <v>9023</v>
      </c>
      <c r="I29" s="5">
        <f>Table34101112131814[[#This Row],[  35-39]]-Table341011121318[[#This Row],[  35-39]]</f>
        <v>8957</v>
      </c>
      <c r="J29" s="5">
        <f>Table34101112131814[[#This Row],[  40-44]]-Table341011121318[[#This Row],[  40-44]]</f>
        <v>8656</v>
      </c>
      <c r="K29" s="5">
        <f>Table34101112131814[[#This Row],[  45-49 ]]-Table341011121318[[#This Row],[  45-49 ]]</f>
        <v>9882</v>
      </c>
      <c r="L29" s="5">
        <f>Table34101112131814[[#This Row],[  50-54]]-Table341011121318[[#This Row],[  50-54]]</f>
        <v>10668</v>
      </c>
      <c r="M29" s="5">
        <f>Table34101112131814[[#This Row],[  55-59]]-Table341011121318[[#This Row],[  55-59]]</f>
        <v>11098</v>
      </c>
      <c r="N29" s="5">
        <f>Table34101112131814[[#This Row],[  60-64]]-Table341011121318[[#This Row],[  60-64]]</f>
        <v>11123</v>
      </c>
      <c r="O29" s="5">
        <f>Table34101112131814[[#This Row],[  65-69]]-Table341011121318[[#This Row],[  65-69]]</f>
        <v>10138</v>
      </c>
      <c r="P29" s="5">
        <f>Table34101112131814[[#This Row],[  70-74]]-Table341011121318[[#This Row],[  70-74]]</f>
        <v>9638</v>
      </c>
      <c r="Q29" s="5">
        <f>Table34101112131814[[#This Row],[  75-79]]-Table341011121318[[#This Row],[  75-79]]</f>
        <v>6723</v>
      </c>
      <c r="R29" s="5">
        <f>Table34101112131814[[#This Row],[  80-84]]-Table341011121318[[#This Row],[  80-84]]</f>
        <v>4399</v>
      </c>
      <c r="S29" s="5">
        <f>Table34101112131814[[#This Row],[  85-89]]-Table341011121318[[#This Row],[  85-89]]</f>
        <v>2301</v>
      </c>
      <c r="T29" s="5">
        <f>Table34101112131814[[#This Row],[  90+]]-Table341011121318[[#This Row],[  90+]]</f>
        <v>1277</v>
      </c>
    </row>
    <row r="30" spans="1:20" x14ac:dyDescent="0.2">
      <c r="A30" s="9" t="s">
        <v>10</v>
      </c>
      <c r="B30" s="6" t="s">
        <v>0</v>
      </c>
      <c r="C30" s="5">
        <f>Table34101112131814[[#This Row],[Total]]-Table341011121318[[#This Row],[Total]]</f>
        <v>71474</v>
      </c>
      <c r="D30" s="5">
        <f>Table34101112131814[[#This Row],[  5-11]]-Table341011121318[[#This Row],[  5-11]]</f>
        <v>5549</v>
      </c>
      <c r="E30" s="5">
        <f>Table34101112131814[[#This Row],[  12-17]]-Table341011121318[[#This Row],[  12-17]]</f>
        <v>5203</v>
      </c>
      <c r="F30" s="5">
        <f>Table34101112131814[[#This Row],[  18-24]]-Table341011121318[[#This Row],[  18-24]]</f>
        <v>5154</v>
      </c>
      <c r="G30" s="5">
        <f>Table34101112131814[[#This Row],[  25-29 ]]-Table341011121318[[#This Row],[  25-29 ]]</f>
        <v>4337</v>
      </c>
      <c r="H30" s="5">
        <f>Table34101112131814[[#This Row],[  30-34]]-Table341011121318[[#This Row],[  30-34]]</f>
        <v>4651</v>
      </c>
      <c r="I30" s="5">
        <f>Table34101112131814[[#This Row],[  35-39]]-Table341011121318[[#This Row],[  35-39]]</f>
        <v>4464</v>
      </c>
      <c r="J30" s="5">
        <f>Table34101112131814[[#This Row],[  40-44]]-Table341011121318[[#This Row],[  40-44]]</f>
        <v>4303</v>
      </c>
      <c r="K30" s="5">
        <f>Table34101112131814[[#This Row],[  45-49 ]]-Table341011121318[[#This Row],[  45-49 ]]</f>
        <v>4913</v>
      </c>
      <c r="L30" s="5">
        <f>Table34101112131814[[#This Row],[  50-54]]-Table341011121318[[#This Row],[  50-54]]</f>
        <v>5237</v>
      </c>
      <c r="M30" s="5">
        <f>Table34101112131814[[#This Row],[  55-59]]-Table341011121318[[#This Row],[  55-59]]</f>
        <v>5392</v>
      </c>
      <c r="N30" s="5">
        <f>Table34101112131814[[#This Row],[  60-64]]-Table341011121318[[#This Row],[  60-64]]</f>
        <v>5523</v>
      </c>
      <c r="O30" s="5">
        <f>Table34101112131814[[#This Row],[  65-69]]-Table341011121318[[#This Row],[  65-69]]</f>
        <v>5007</v>
      </c>
      <c r="P30" s="5">
        <f>Table34101112131814[[#This Row],[  70-74]]-Table341011121318[[#This Row],[  70-74]]</f>
        <v>4794</v>
      </c>
      <c r="Q30" s="5">
        <f>Table34101112131814[[#This Row],[  75-79]]-Table341011121318[[#This Row],[  75-79]]</f>
        <v>3342</v>
      </c>
      <c r="R30" s="5">
        <f>Table34101112131814[[#This Row],[  80-84]]-Table341011121318[[#This Row],[  80-84]]</f>
        <v>2115</v>
      </c>
      <c r="S30" s="5">
        <f>Table34101112131814[[#This Row],[  85-89]]-Table341011121318[[#This Row],[  85-89]]</f>
        <v>1018</v>
      </c>
      <c r="T30" s="5">
        <f>Table34101112131814[[#This Row],[  90+]]-Table341011121318[[#This Row],[  90+]]</f>
        <v>472</v>
      </c>
    </row>
    <row r="31" spans="1:20" x14ac:dyDescent="0.2">
      <c r="A31" s="9" t="s">
        <v>10</v>
      </c>
      <c r="B31" s="6" t="s">
        <v>23</v>
      </c>
      <c r="C31" s="5">
        <f>Table34101112131814[[#This Row],[Total]]-Table341011121318[[#This Row],[Total]]</f>
        <v>70819</v>
      </c>
      <c r="D31" s="5">
        <f>Table34101112131814[[#This Row],[  5-11]]-Table341011121318[[#This Row],[  5-11]]</f>
        <v>5294</v>
      </c>
      <c r="E31" s="5">
        <f>Table34101112131814[[#This Row],[  12-17]]-Table341011121318[[#This Row],[  12-17]]</f>
        <v>4935</v>
      </c>
      <c r="F31" s="5">
        <f>Table34101112131814[[#This Row],[  18-24]]-Table341011121318[[#This Row],[  18-24]]</f>
        <v>4272</v>
      </c>
      <c r="G31" s="5">
        <f>Table34101112131814[[#This Row],[  25-29 ]]-Table341011121318[[#This Row],[  25-29 ]]</f>
        <v>3666</v>
      </c>
      <c r="H31" s="5">
        <f>Table34101112131814[[#This Row],[  30-34]]-Table341011121318[[#This Row],[  30-34]]</f>
        <v>4372</v>
      </c>
      <c r="I31" s="5">
        <f>Table34101112131814[[#This Row],[  35-39]]-Table341011121318[[#This Row],[  35-39]]</f>
        <v>4493</v>
      </c>
      <c r="J31" s="5">
        <f>Table34101112131814[[#This Row],[  40-44]]-Table341011121318[[#This Row],[  40-44]]</f>
        <v>4353</v>
      </c>
      <c r="K31" s="5">
        <f>Table34101112131814[[#This Row],[  45-49 ]]-Table341011121318[[#This Row],[  45-49 ]]</f>
        <v>4969</v>
      </c>
      <c r="L31" s="5">
        <f>Table34101112131814[[#This Row],[  50-54]]-Table341011121318[[#This Row],[  50-54]]</f>
        <v>5431</v>
      </c>
      <c r="M31" s="5">
        <f>Table34101112131814[[#This Row],[  55-59]]-Table341011121318[[#This Row],[  55-59]]</f>
        <v>5706</v>
      </c>
      <c r="N31" s="5">
        <f>Table34101112131814[[#This Row],[  60-64]]-Table341011121318[[#This Row],[  60-64]]</f>
        <v>5600</v>
      </c>
      <c r="O31" s="5">
        <f>Table34101112131814[[#This Row],[  65-69]]-Table341011121318[[#This Row],[  65-69]]</f>
        <v>5131</v>
      </c>
      <c r="P31" s="5">
        <f>Table34101112131814[[#This Row],[  70-74]]-Table341011121318[[#This Row],[  70-74]]</f>
        <v>4844</v>
      </c>
      <c r="Q31" s="5">
        <f>Table34101112131814[[#This Row],[  75-79]]-Table341011121318[[#This Row],[  75-79]]</f>
        <v>3381</v>
      </c>
      <c r="R31" s="5">
        <f>Table34101112131814[[#This Row],[  80-84]]-Table341011121318[[#This Row],[  80-84]]</f>
        <v>2284</v>
      </c>
      <c r="S31" s="5">
        <f>Table34101112131814[[#This Row],[  85-89]]-Table341011121318[[#This Row],[  85-89]]</f>
        <v>1283</v>
      </c>
      <c r="T31" s="5">
        <f>Table34101112131814[[#This Row],[  90+]]-Table341011121318[[#This Row],[  90+]]</f>
        <v>805</v>
      </c>
    </row>
    <row r="32" spans="1:20" x14ac:dyDescent="0.2">
      <c r="A32" s="9" t="s">
        <v>11</v>
      </c>
      <c r="B32" s="6" t="s">
        <v>22</v>
      </c>
      <c r="C32" s="5">
        <f>Table34101112131814[[#This Row],[Total]]-Table341011121318[[#This Row],[Total]]</f>
        <v>125215</v>
      </c>
      <c r="D32" s="5">
        <f>Table34101112131814[[#This Row],[  5-11]]-Table341011121318[[#This Row],[  5-11]]</f>
        <v>8946</v>
      </c>
      <c r="E32" s="5">
        <f>Table34101112131814[[#This Row],[  12-17]]-Table341011121318[[#This Row],[  12-17]]</f>
        <v>8164</v>
      </c>
      <c r="F32" s="5">
        <f>Table34101112131814[[#This Row],[  18-24]]-Table341011121318[[#This Row],[  18-24]]</f>
        <v>7122</v>
      </c>
      <c r="G32" s="5">
        <f>Table34101112131814[[#This Row],[  25-29 ]]-Table341011121318[[#This Row],[  25-29 ]]</f>
        <v>6359</v>
      </c>
      <c r="H32" s="5">
        <f>Table34101112131814[[#This Row],[  30-34]]-Table341011121318[[#This Row],[  30-34]]</f>
        <v>7623</v>
      </c>
      <c r="I32" s="5">
        <f>Table34101112131814[[#This Row],[  35-39]]-Table341011121318[[#This Row],[  35-39]]</f>
        <v>7399</v>
      </c>
      <c r="J32" s="5">
        <f>Table34101112131814[[#This Row],[  40-44]]-Table341011121318[[#This Row],[  40-44]]</f>
        <v>6776</v>
      </c>
      <c r="K32" s="5">
        <f>Table34101112131814[[#This Row],[  45-49 ]]-Table341011121318[[#This Row],[  45-49 ]]</f>
        <v>7615</v>
      </c>
      <c r="L32" s="5">
        <f>Table34101112131814[[#This Row],[  50-54]]-Table341011121318[[#This Row],[  50-54]]</f>
        <v>9242</v>
      </c>
      <c r="M32" s="5">
        <f>Table34101112131814[[#This Row],[  55-59]]-Table341011121318[[#This Row],[  55-59]]</f>
        <v>10188</v>
      </c>
      <c r="N32" s="5">
        <f>Table34101112131814[[#This Row],[  60-64]]-Table341011121318[[#This Row],[  60-64]]</f>
        <v>10751</v>
      </c>
      <c r="O32" s="5">
        <f>Table34101112131814[[#This Row],[  65-69]]-Table341011121318[[#This Row],[  65-69]]</f>
        <v>10510</v>
      </c>
      <c r="P32" s="5">
        <f>Table34101112131814[[#This Row],[  70-74]]-Table341011121318[[#This Row],[  70-74]]</f>
        <v>9786</v>
      </c>
      <c r="Q32" s="5">
        <f>Table34101112131814[[#This Row],[  75-79]]-Table341011121318[[#This Row],[  75-79]]</f>
        <v>6854</v>
      </c>
      <c r="R32" s="5">
        <f>Table34101112131814[[#This Row],[  80-84]]-Table341011121318[[#This Row],[  80-84]]</f>
        <v>4404</v>
      </c>
      <c r="S32" s="5">
        <f>Table34101112131814[[#This Row],[  85-89]]-Table341011121318[[#This Row],[  85-89]]</f>
        <v>2224</v>
      </c>
      <c r="T32" s="5">
        <f>Table34101112131814[[#This Row],[  90+]]-Table341011121318[[#This Row],[  90+]]</f>
        <v>1252</v>
      </c>
    </row>
    <row r="33" spans="1:20" x14ac:dyDescent="0.2">
      <c r="A33" s="9" t="s">
        <v>11</v>
      </c>
      <c r="B33" s="6" t="s">
        <v>0</v>
      </c>
      <c r="C33" s="5">
        <f>Table34101112131814[[#This Row],[Total]]-Table341011121318[[#This Row],[Total]]</f>
        <v>62829</v>
      </c>
      <c r="D33" s="5">
        <f>Table34101112131814[[#This Row],[  5-11]]-Table341011121318[[#This Row],[  5-11]]</f>
        <v>4563</v>
      </c>
      <c r="E33" s="5">
        <f>Table34101112131814[[#This Row],[  12-17]]-Table341011121318[[#This Row],[  12-17]]</f>
        <v>4160</v>
      </c>
      <c r="F33" s="5">
        <f>Table34101112131814[[#This Row],[  18-24]]-Table341011121318[[#This Row],[  18-24]]</f>
        <v>3784</v>
      </c>
      <c r="G33" s="5">
        <f>Table34101112131814[[#This Row],[  25-29 ]]-Table341011121318[[#This Row],[  25-29 ]]</f>
        <v>3195</v>
      </c>
      <c r="H33" s="5">
        <f>Table34101112131814[[#This Row],[  30-34]]-Table341011121318[[#This Row],[  30-34]]</f>
        <v>3751</v>
      </c>
      <c r="I33" s="5">
        <f>Table34101112131814[[#This Row],[  35-39]]-Table341011121318[[#This Row],[  35-39]]</f>
        <v>3700</v>
      </c>
      <c r="J33" s="5">
        <f>Table34101112131814[[#This Row],[  40-44]]-Table341011121318[[#This Row],[  40-44]]</f>
        <v>3362</v>
      </c>
      <c r="K33" s="5">
        <f>Table34101112131814[[#This Row],[  45-49 ]]-Table341011121318[[#This Row],[  45-49 ]]</f>
        <v>3814</v>
      </c>
      <c r="L33" s="5">
        <f>Table34101112131814[[#This Row],[  50-54]]-Table341011121318[[#This Row],[  50-54]]</f>
        <v>4503</v>
      </c>
      <c r="M33" s="5">
        <f>Table34101112131814[[#This Row],[  55-59]]-Table341011121318[[#This Row],[  55-59]]</f>
        <v>5022</v>
      </c>
      <c r="N33" s="5">
        <f>Table34101112131814[[#This Row],[  60-64]]-Table341011121318[[#This Row],[  60-64]]</f>
        <v>5331</v>
      </c>
      <c r="O33" s="5">
        <f>Table34101112131814[[#This Row],[  65-69]]-Table341011121318[[#This Row],[  65-69]]</f>
        <v>5411</v>
      </c>
      <c r="P33" s="5">
        <f>Table34101112131814[[#This Row],[  70-74]]-Table341011121318[[#This Row],[  70-74]]</f>
        <v>5038</v>
      </c>
      <c r="Q33" s="5">
        <f>Table34101112131814[[#This Row],[  75-79]]-Table341011121318[[#This Row],[  75-79]]</f>
        <v>3510</v>
      </c>
      <c r="R33" s="5">
        <f>Table34101112131814[[#This Row],[  80-84]]-Table341011121318[[#This Row],[  80-84]]</f>
        <v>2197</v>
      </c>
      <c r="S33" s="5">
        <f>Table34101112131814[[#This Row],[  85-89]]-Table341011121318[[#This Row],[  85-89]]</f>
        <v>1014</v>
      </c>
      <c r="T33" s="5">
        <f>Table34101112131814[[#This Row],[  90+]]-Table341011121318[[#This Row],[  90+]]</f>
        <v>474</v>
      </c>
    </row>
    <row r="34" spans="1:20" x14ac:dyDescent="0.2">
      <c r="A34" s="9" t="s">
        <v>11</v>
      </c>
      <c r="B34" s="6" t="s">
        <v>23</v>
      </c>
      <c r="C34" s="5">
        <f>Table34101112131814[[#This Row],[Total]]-Table341011121318[[#This Row],[Total]]</f>
        <v>62386</v>
      </c>
      <c r="D34" s="5">
        <f>Table34101112131814[[#This Row],[  5-11]]-Table341011121318[[#This Row],[  5-11]]</f>
        <v>4383</v>
      </c>
      <c r="E34" s="5">
        <f>Table34101112131814[[#This Row],[  12-17]]-Table341011121318[[#This Row],[  12-17]]</f>
        <v>4004</v>
      </c>
      <c r="F34" s="5">
        <f>Table34101112131814[[#This Row],[  18-24]]-Table341011121318[[#This Row],[  18-24]]</f>
        <v>3338</v>
      </c>
      <c r="G34" s="5">
        <f>Table34101112131814[[#This Row],[  25-29 ]]-Table341011121318[[#This Row],[  25-29 ]]</f>
        <v>3164</v>
      </c>
      <c r="H34" s="5">
        <f>Table34101112131814[[#This Row],[  30-34]]-Table341011121318[[#This Row],[  30-34]]</f>
        <v>3872</v>
      </c>
      <c r="I34" s="5">
        <f>Table34101112131814[[#This Row],[  35-39]]-Table341011121318[[#This Row],[  35-39]]</f>
        <v>3699</v>
      </c>
      <c r="J34" s="5">
        <f>Table34101112131814[[#This Row],[  40-44]]-Table341011121318[[#This Row],[  40-44]]</f>
        <v>3414</v>
      </c>
      <c r="K34" s="5">
        <f>Table34101112131814[[#This Row],[  45-49 ]]-Table341011121318[[#This Row],[  45-49 ]]</f>
        <v>3801</v>
      </c>
      <c r="L34" s="5">
        <f>Table34101112131814[[#This Row],[  50-54]]-Table341011121318[[#This Row],[  50-54]]</f>
        <v>4739</v>
      </c>
      <c r="M34" s="5">
        <f>Table34101112131814[[#This Row],[  55-59]]-Table341011121318[[#This Row],[  55-59]]</f>
        <v>5166</v>
      </c>
      <c r="N34" s="5">
        <f>Table34101112131814[[#This Row],[  60-64]]-Table341011121318[[#This Row],[  60-64]]</f>
        <v>5420</v>
      </c>
      <c r="O34" s="5">
        <f>Table34101112131814[[#This Row],[  65-69]]-Table341011121318[[#This Row],[  65-69]]</f>
        <v>5099</v>
      </c>
      <c r="P34" s="5">
        <f>Table34101112131814[[#This Row],[  70-74]]-Table341011121318[[#This Row],[  70-74]]</f>
        <v>4748</v>
      </c>
      <c r="Q34" s="5">
        <f>Table34101112131814[[#This Row],[  75-79]]-Table341011121318[[#This Row],[  75-79]]</f>
        <v>3344</v>
      </c>
      <c r="R34" s="5">
        <f>Table34101112131814[[#This Row],[  80-84]]-Table341011121318[[#This Row],[  80-84]]</f>
        <v>2207</v>
      </c>
      <c r="S34" s="5">
        <f>Table34101112131814[[#This Row],[  85-89]]-Table341011121318[[#This Row],[  85-89]]</f>
        <v>1210</v>
      </c>
      <c r="T34" s="5">
        <f>Table34101112131814[[#This Row],[  90+]]-Table341011121318[[#This Row],[  90+]]</f>
        <v>778</v>
      </c>
    </row>
    <row r="35" spans="1:20" x14ac:dyDescent="0.2">
      <c r="A35" s="9" t="s">
        <v>12</v>
      </c>
      <c r="B35" s="6" t="s">
        <v>22</v>
      </c>
      <c r="C35" s="5">
        <f>Table34101112131814[[#This Row],[Total]]-Table341011121318[[#This Row],[Total]]</f>
        <v>20381</v>
      </c>
      <c r="D35" s="5">
        <f>Table34101112131814[[#This Row],[  5-11]]-Table341011121318[[#This Row],[  5-11]]</f>
        <v>181</v>
      </c>
      <c r="E35" s="5">
        <f>Table34101112131814[[#This Row],[  12-17]]-Table341011121318[[#This Row],[  12-17]]</f>
        <v>772</v>
      </c>
      <c r="F35" s="5">
        <f>Table34101112131814[[#This Row],[  18-24]]-Table341011121318[[#This Row],[  18-24]]</f>
        <v>2212</v>
      </c>
      <c r="G35" s="5">
        <f>Table34101112131814[[#This Row],[  25-29 ]]-Table341011121318[[#This Row],[  25-29 ]]</f>
        <v>3200</v>
      </c>
      <c r="H35" s="5">
        <f>Table34101112131814[[#This Row],[  30-34]]-Table341011121318[[#This Row],[  30-34]]</f>
        <v>3378</v>
      </c>
      <c r="I35" s="5">
        <f>Table34101112131814[[#This Row],[  35-39]]-Table341011121318[[#This Row],[  35-39]]</f>
        <v>2366</v>
      </c>
      <c r="J35" s="5">
        <f>Table34101112131814[[#This Row],[  40-44]]-Table341011121318[[#This Row],[  40-44]]</f>
        <v>1805</v>
      </c>
      <c r="K35" s="5">
        <f>Table34101112131814[[#This Row],[  45-49 ]]-Table341011121318[[#This Row],[  45-49 ]]</f>
        <v>1326</v>
      </c>
      <c r="L35" s="5">
        <f>Table34101112131814[[#This Row],[  50-54]]-Table341011121318[[#This Row],[  50-54]]</f>
        <v>1569</v>
      </c>
      <c r="M35" s="5">
        <f>Table34101112131814[[#This Row],[  55-59]]-Table341011121318[[#This Row],[  55-59]]</f>
        <v>1423</v>
      </c>
      <c r="N35" s="5">
        <f>Table34101112131814[[#This Row],[  60-64]]-Table341011121318[[#This Row],[  60-64]]</f>
        <v>1085</v>
      </c>
      <c r="O35" s="5">
        <f>Table34101112131814[[#This Row],[  65-69]]-Table341011121318[[#This Row],[  65-69]]</f>
        <v>453</v>
      </c>
      <c r="P35" s="5">
        <f>Table34101112131814[[#This Row],[  70-74]]-Table341011121318[[#This Row],[  70-74]]</f>
        <v>346</v>
      </c>
      <c r="Q35" s="5">
        <f>Table34101112131814[[#This Row],[  75-79]]-Table341011121318[[#This Row],[  75-79]]</f>
        <v>144</v>
      </c>
      <c r="R35" s="5">
        <f>Table34101112131814[[#This Row],[  80-84]]-Table341011121318[[#This Row],[  80-84]]</f>
        <v>76</v>
      </c>
      <c r="S35" s="5">
        <f>Table34101112131814[[#This Row],[  85-89]]-Table341011121318[[#This Row],[  85-89]]</f>
        <v>26</v>
      </c>
      <c r="T35" s="5">
        <f>Table34101112131814[[#This Row],[  90+]]-Table341011121318[[#This Row],[  90+]]</f>
        <v>19</v>
      </c>
    </row>
    <row r="36" spans="1:20" x14ac:dyDescent="0.2">
      <c r="A36" s="9" t="s">
        <v>12</v>
      </c>
      <c r="B36" s="6" t="s">
        <v>0</v>
      </c>
      <c r="C36" s="5">
        <f>Table34101112131814[[#This Row],[Total]]-Table341011121318[[#This Row],[Total]]</f>
        <v>14623</v>
      </c>
      <c r="D36" s="5">
        <f>Table34101112131814[[#This Row],[  5-11]]-Table341011121318[[#This Row],[  5-11]]</f>
        <v>96</v>
      </c>
      <c r="E36" s="5">
        <f>Table34101112131814[[#This Row],[  12-17]]-Table341011121318[[#This Row],[  12-17]]</f>
        <v>404</v>
      </c>
      <c r="F36" s="5">
        <f>Table34101112131814[[#This Row],[  18-24]]-Table341011121318[[#This Row],[  18-24]]</f>
        <v>1601</v>
      </c>
      <c r="G36" s="5">
        <f>Table34101112131814[[#This Row],[  25-29 ]]-Table341011121318[[#This Row],[  25-29 ]]</f>
        <v>2438</v>
      </c>
      <c r="H36" s="5">
        <f>Table34101112131814[[#This Row],[  30-34]]-Table341011121318[[#This Row],[  30-34]]</f>
        <v>2412</v>
      </c>
      <c r="I36" s="5">
        <f>Table34101112131814[[#This Row],[  35-39]]-Table341011121318[[#This Row],[  35-39]]</f>
        <v>1911</v>
      </c>
      <c r="J36" s="5">
        <f>Table34101112131814[[#This Row],[  40-44]]-Table341011121318[[#This Row],[  40-44]]</f>
        <v>1482</v>
      </c>
      <c r="K36" s="5">
        <f>Table34101112131814[[#This Row],[  45-49 ]]-Table341011121318[[#This Row],[  45-49 ]]</f>
        <v>865</v>
      </c>
      <c r="L36" s="5">
        <f>Table34101112131814[[#This Row],[  50-54]]-Table341011121318[[#This Row],[  50-54]]</f>
        <v>1203</v>
      </c>
      <c r="M36" s="5">
        <f>Table34101112131814[[#This Row],[  55-59]]-Table341011121318[[#This Row],[  55-59]]</f>
        <v>916</v>
      </c>
      <c r="N36" s="5">
        <f>Table34101112131814[[#This Row],[  60-64]]-Table341011121318[[#This Row],[  60-64]]</f>
        <v>739</v>
      </c>
      <c r="O36" s="5">
        <f>Table34101112131814[[#This Row],[  65-69]]-Table341011121318[[#This Row],[  65-69]]</f>
        <v>244</v>
      </c>
      <c r="P36" s="5">
        <f>Table34101112131814[[#This Row],[  70-74]]-Table341011121318[[#This Row],[  70-74]]</f>
        <v>189</v>
      </c>
      <c r="Q36" s="5">
        <f>Table34101112131814[[#This Row],[  75-79]]-Table341011121318[[#This Row],[  75-79]]</f>
        <v>85</v>
      </c>
      <c r="R36" s="5">
        <f>Table34101112131814[[#This Row],[  80-84]]-Table341011121318[[#This Row],[  80-84]]</f>
        <v>38</v>
      </c>
      <c r="S36" s="5">
        <f>Table34101112131814[[#This Row],[  85-89]]-Table341011121318[[#This Row],[  85-89]]</f>
        <v>0</v>
      </c>
      <c r="T36" s="5">
        <f>Table34101112131814[[#This Row],[  90+]]-Table341011121318[[#This Row],[  90+]]</f>
        <v>0</v>
      </c>
    </row>
    <row r="37" spans="1:20" x14ac:dyDescent="0.2">
      <c r="A37" s="9" t="s">
        <v>12</v>
      </c>
      <c r="B37" s="6" t="s">
        <v>23</v>
      </c>
      <c r="C37" s="5">
        <f>Table34101112131814[[#This Row],[Total]]-Table341011121318[[#This Row],[Total]]</f>
        <v>5758</v>
      </c>
      <c r="D37" s="5">
        <f>Table34101112131814[[#This Row],[  5-11]]-Table341011121318[[#This Row],[  5-11]]</f>
        <v>85</v>
      </c>
      <c r="E37" s="5">
        <f>Table34101112131814[[#This Row],[  12-17]]-Table341011121318[[#This Row],[  12-17]]</f>
        <v>368</v>
      </c>
      <c r="F37" s="5">
        <f>Table34101112131814[[#This Row],[  18-24]]-Table341011121318[[#This Row],[  18-24]]</f>
        <v>611</v>
      </c>
      <c r="G37" s="5">
        <f>Table34101112131814[[#This Row],[  25-29 ]]-Table341011121318[[#This Row],[  25-29 ]]</f>
        <v>762</v>
      </c>
      <c r="H37" s="5">
        <f>Table34101112131814[[#This Row],[  30-34]]-Table341011121318[[#This Row],[  30-34]]</f>
        <v>966</v>
      </c>
      <c r="I37" s="5">
        <f>Table34101112131814[[#This Row],[  35-39]]-Table341011121318[[#This Row],[  35-39]]</f>
        <v>455</v>
      </c>
      <c r="J37" s="5">
        <f>Table34101112131814[[#This Row],[  40-44]]-Table341011121318[[#This Row],[  40-44]]</f>
        <v>323</v>
      </c>
      <c r="K37" s="5">
        <f>Table34101112131814[[#This Row],[  45-49 ]]-Table341011121318[[#This Row],[  45-49 ]]</f>
        <v>461</v>
      </c>
      <c r="L37" s="5">
        <f>Table34101112131814[[#This Row],[  50-54]]-Table341011121318[[#This Row],[  50-54]]</f>
        <v>366</v>
      </c>
      <c r="M37" s="5">
        <f>Table34101112131814[[#This Row],[  55-59]]-Table341011121318[[#This Row],[  55-59]]</f>
        <v>507</v>
      </c>
      <c r="N37" s="5">
        <f>Table34101112131814[[#This Row],[  60-64]]-Table341011121318[[#This Row],[  60-64]]</f>
        <v>346</v>
      </c>
      <c r="O37" s="5">
        <f>Table34101112131814[[#This Row],[  65-69]]-Table341011121318[[#This Row],[  65-69]]</f>
        <v>209</v>
      </c>
      <c r="P37" s="5">
        <f>Table34101112131814[[#This Row],[  70-74]]-Table341011121318[[#This Row],[  70-74]]</f>
        <v>157</v>
      </c>
      <c r="Q37" s="5">
        <f>Table34101112131814[[#This Row],[  75-79]]-Table341011121318[[#This Row],[  75-79]]</f>
        <v>59</v>
      </c>
      <c r="R37" s="5">
        <f>Table34101112131814[[#This Row],[  80-84]]-Table341011121318[[#This Row],[  80-84]]</f>
        <v>38</v>
      </c>
      <c r="S37" s="5">
        <f>Table34101112131814[[#This Row],[  85-89]]-Table341011121318[[#This Row],[  85-89]]</f>
        <v>26</v>
      </c>
      <c r="T37" s="5">
        <f>Table34101112131814[[#This Row],[  90+]]-Table341011121318[[#This Row],[  90+]]</f>
        <v>19</v>
      </c>
    </row>
    <row r="38" spans="1:20" x14ac:dyDescent="0.2">
      <c r="A38" s="9" t="s">
        <v>13</v>
      </c>
      <c r="B38" s="6" t="s">
        <v>22</v>
      </c>
      <c r="C38" s="5">
        <f>Table34101112131814[[#This Row],[Total]]-Table341011121318[[#This Row],[Total]]</f>
        <v>54926</v>
      </c>
      <c r="D38" s="5">
        <f>Table34101112131814[[#This Row],[  5-11]]-Table341011121318[[#This Row],[  5-11]]</f>
        <v>4394</v>
      </c>
      <c r="E38" s="5">
        <f>Table34101112131814[[#This Row],[  12-17]]-Table341011121318[[#This Row],[  12-17]]</f>
        <v>3921</v>
      </c>
      <c r="F38" s="5">
        <f>Table34101112131814[[#This Row],[  18-24]]-Table341011121318[[#This Row],[  18-24]]</f>
        <v>3868</v>
      </c>
      <c r="G38" s="5">
        <f>Table34101112131814[[#This Row],[  25-29 ]]-Table341011121318[[#This Row],[  25-29 ]]</f>
        <v>3501</v>
      </c>
      <c r="H38" s="5">
        <f>Table34101112131814[[#This Row],[  30-34]]-Table341011121318[[#This Row],[  30-34]]</f>
        <v>3656</v>
      </c>
      <c r="I38" s="5">
        <f>Table34101112131814[[#This Row],[  35-39]]-Table341011121318[[#This Row],[  35-39]]</f>
        <v>3262</v>
      </c>
      <c r="J38" s="5">
        <f>Table34101112131814[[#This Row],[  40-44]]-Table341011121318[[#This Row],[  40-44]]</f>
        <v>3175</v>
      </c>
      <c r="K38" s="5">
        <f>Table34101112131814[[#This Row],[  45-49 ]]-Table341011121318[[#This Row],[  45-49 ]]</f>
        <v>3532</v>
      </c>
      <c r="L38" s="5">
        <f>Table34101112131814[[#This Row],[  50-54]]-Table341011121318[[#This Row],[  50-54]]</f>
        <v>3887</v>
      </c>
      <c r="M38" s="5">
        <f>Table34101112131814[[#This Row],[  55-59]]-Table341011121318[[#This Row],[  55-59]]</f>
        <v>4200</v>
      </c>
      <c r="N38" s="5">
        <f>Table34101112131814[[#This Row],[  60-64]]-Table341011121318[[#This Row],[  60-64]]</f>
        <v>4218</v>
      </c>
      <c r="O38" s="5">
        <f>Table34101112131814[[#This Row],[  65-69]]-Table341011121318[[#This Row],[  65-69]]</f>
        <v>3804</v>
      </c>
      <c r="P38" s="5">
        <f>Table34101112131814[[#This Row],[  70-74]]-Table341011121318[[#This Row],[  70-74]]</f>
        <v>3575</v>
      </c>
      <c r="Q38" s="5">
        <f>Table34101112131814[[#This Row],[  75-79]]-Table341011121318[[#This Row],[  75-79]]</f>
        <v>2532</v>
      </c>
      <c r="R38" s="5">
        <f>Table34101112131814[[#This Row],[  80-84]]-Table341011121318[[#This Row],[  80-84]]</f>
        <v>1863</v>
      </c>
      <c r="S38" s="5">
        <f>Table34101112131814[[#This Row],[  85-89]]-Table341011121318[[#This Row],[  85-89]]</f>
        <v>996</v>
      </c>
      <c r="T38" s="5">
        <f>Table34101112131814[[#This Row],[  90+]]-Table341011121318[[#This Row],[  90+]]</f>
        <v>542</v>
      </c>
    </row>
    <row r="39" spans="1:20" x14ac:dyDescent="0.2">
      <c r="A39" s="9" t="s">
        <v>13</v>
      </c>
      <c r="B39" s="6" t="s">
        <v>0</v>
      </c>
      <c r="C39" s="5">
        <f>Table34101112131814[[#This Row],[Total]]-Table341011121318[[#This Row],[Total]]</f>
        <v>27641</v>
      </c>
      <c r="D39" s="5">
        <f>Table34101112131814[[#This Row],[  5-11]]-Table341011121318[[#This Row],[  5-11]]</f>
        <v>2263</v>
      </c>
      <c r="E39" s="5">
        <f>Table34101112131814[[#This Row],[  12-17]]-Table341011121318[[#This Row],[  12-17]]</f>
        <v>2041</v>
      </c>
      <c r="F39" s="5">
        <f>Table34101112131814[[#This Row],[  18-24]]-Table341011121318[[#This Row],[  18-24]]</f>
        <v>2096</v>
      </c>
      <c r="G39" s="5">
        <f>Table34101112131814[[#This Row],[  25-29 ]]-Table341011121318[[#This Row],[  25-29 ]]</f>
        <v>1869</v>
      </c>
      <c r="H39" s="5">
        <f>Table34101112131814[[#This Row],[  30-34]]-Table341011121318[[#This Row],[  30-34]]</f>
        <v>1866</v>
      </c>
      <c r="I39" s="5">
        <f>Table34101112131814[[#This Row],[  35-39]]-Table341011121318[[#This Row],[  35-39]]</f>
        <v>1689</v>
      </c>
      <c r="J39" s="5">
        <f>Table34101112131814[[#This Row],[  40-44]]-Table341011121318[[#This Row],[  40-44]]</f>
        <v>1587</v>
      </c>
      <c r="K39" s="5">
        <f>Table34101112131814[[#This Row],[  45-49 ]]-Table341011121318[[#This Row],[  45-49 ]]</f>
        <v>1779</v>
      </c>
      <c r="L39" s="5">
        <f>Table34101112131814[[#This Row],[  50-54]]-Table341011121318[[#This Row],[  50-54]]</f>
        <v>1930</v>
      </c>
      <c r="M39" s="5">
        <f>Table34101112131814[[#This Row],[  55-59]]-Table341011121318[[#This Row],[  55-59]]</f>
        <v>2039</v>
      </c>
      <c r="N39" s="5">
        <f>Table34101112131814[[#This Row],[  60-64]]-Table341011121318[[#This Row],[  60-64]]</f>
        <v>2078</v>
      </c>
      <c r="O39" s="5">
        <f>Table34101112131814[[#This Row],[  65-69]]-Table341011121318[[#This Row],[  65-69]]</f>
        <v>1957</v>
      </c>
      <c r="P39" s="5">
        <f>Table34101112131814[[#This Row],[  70-74]]-Table341011121318[[#This Row],[  70-74]]</f>
        <v>1783</v>
      </c>
      <c r="Q39" s="5">
        <f>Table34101112131814[[#This Row],[  75-79]]-Table341011121318[[#This Row],[  75-79]]</f>
        <v>1227</v>
      </c>
      <c r="R39" s="5">
        <f>Table34101112131814[[#This Row],[  80-84]]-Table341011121318[[#This Row],[  80-84]]</f>
        <v>829</v>
      </c>
      <c r="S39" s="5">
        <f>Table34101112131814[[#This Row],[  85-89]]-Table341011121318[[#This Row],[  85-89]]</f>
        <v>415</v>
      </c>
      <c r="T39" s="5">
        <f>Table34101112131814[[#This Row],[  90+]]-Table341011121318[[#This Row],[  90+]]</f>
        <v>193</v>
      </c>
    </row>
    <row r="40" spans="1:20" x14ac:dyDescent="0.2">
      <c r="A40" s="9" t="s">
        <v>13</v>
      </c>
      <c r="B40" s="6" t="s">
        <v>23</v>
      </c>
      <c r="C40" s="5">
        <f>Table34101112131814[[#This Row],[Total]]-Table341011121318[[#This Row],[Total]]</f>
        <v>27285</v>
      </c>
      <c r="D40" s="5">
        <f>Table34101112131814[[#This Row],[  5-11]]-Table341011121318[[#This Row],[  5-11]]</f>
        <v>2131</v>
      </c>
      <c r="E40" s="5">
        <f>Table34101112131814[[#This Row],[  12-17]]-Table341011121318[[#This Row],[  12-17]]</f>
        <v>1880</v>
      </c>
      <c r="F40" s="5">
        <f>Table34101112131814[[#This Row],[  18-24]]-Table341011121318[[#This Row],[  18-24]]</f>
        <v>1772</v>
      </c>
      <c r="G40" s="5">
        <f>Table34101112131814[[#This Row],[  25-29 ]]-Table341011121318[[#This Row],[  25-29 ]]</f>
        <v>1632</v>
      </c>
      <c r="H40" s="5">
        <f>Table34101112131814[[#This Row],[  30-34]]-Table341011121318[[#This Row],[  30-34]]</f>
        <v>1790</v>
      </c>
      <c r="I40" s="5">
        <f>Table34101112131814[[#This Row],[  35-39]]-Table341011121318[[#This Row],[  35-39]]</f>
        <v>1573</v>
      </c>
      <c r="J40" s="5">
        <f>Table34101112131814[[#This Row],[  40-44]]-Table341011121318[[#This Row],[  40-44]]</f>
        <v>1588</v>
      </c>
      <c r="K40" s="5">
        <f>Table34101112131814[[#This Row],[  45-49 ]]-Table341011121318[[#This Row],[  45-49 ]]</f>
        <v>1753</v>
      </c>
      <c r="L40" s="5">
        <f>Table34101112131814[[#This Row],[  50-54]]-Table341011121318[[#This Row],[  50-54]]</f>
        <v>1957</v>
      </c>
      <c r="M40" s="5">
        <f>Table34101112131814[[#This Row],[  55-59]]-Table341011121318[[#This Row],[  55-59]]</f>
        <v>2161</v>
      </c>
      <c r="N40" s="5">
        <f>Table34101112131814[[#This Row],[  60-64]]-Table341011121318[[#This Row],[  60-64]]</f>
        <v>2140</v>
      </c>
      <c r="O40" s="5">
        <f>Table34101112131814[[#This Row],[  65-69]]-Table341011121318[[#This Row],[  65-69]]</f>
        <v>1847</v>
      </c>
      <c r="P40" s="5">
        <f>Table34101112131814[[#This Row],[  70-74]]-Table341011121318[[#This Row],[  70-74]]</f>
        <v>1792</v>
      </c>
      <c r="Q40" s="5">
        <f>Table34101112131814[[#This Row],[  75-79]]-Table341011121318[[#This Row],[  75-79]]</f>
        <v>1305</v>
      </c>
      <c r="R40" s="5">
        <f>Table34101112131814[[#This Row],[  80-84]]-Table341011121318[[#This Row],[  80-84]]</f>
        <v>1034</v>
      </c>
      <c r="S40" s="5">
        <f>Table34101112131814[[#This Row],[  85-89]]-Table341011121318[[#This Row],[  85-89]]</f>
        <v>581</v>
      </c>
      <c r="T40" s="5">
        <f>Table34101112131814[[#This Row],[  90+]]-Table341011121318[[#This Row],[  90+]]</f>
        <v>349</v>
      </c>
    </row>
    <row r="41" spans="1:20" x14ac:dyDescent="0.2">
      <c r="A41" s="9" t="s">
        <v>14</v>
      </c>
      <c r="B41" s="6" t="s">
        <v>22</v>
      </c>
      <c r="C41" s="5">
        <f>Table34101112131814[[#This Row],[Total]]-Table341011121318[[#This Row],[Total]]</f>
        <v>301622</v>
      </c>
      <c r="D41" s="5">
        <f>Table34101112131814[[#This Row],[  5-11]]-Table341011121318[[#This Row],[  5-11]]</f>
        <v>23357</v>
      </c>
      <c r="E41" s="5">
        <f>Table34101112131814[[#This Row],[  12-17]]-Table341011121318[[#This Row],[  12-17]]</f>
        <v>20831</v>
      </c>
      <c r="F41" s="5">
        <f>Table34101112131814[[#This Row],[  18-24]]-Table341011121318[[#This Row],[  18-24]]</f>
        <v>31353</v>
      </c>
      <c r="G41" s="5">
        <f>Table34101112131814[[#This Row],[  25-29 ]]-Table341011121318[[#This Row],[  25-29 ]]</f>
        <v>22669</v>
      </c>
      <c r="H41" s="5">
        <f>Table34101112131814[[#This Row],[  30-34]]-Table341011121318[[#This Row],[  30-34]]</f>
        <v>23927</v>
      </c>
      <c r="I41" s="5">
        <f>Table34101112131814[[#This Row],[  35-39]]-Table341011121318[[#This Row],[  35-39]]</f>
        <v>21261</v>
      </c>
      <c r="J41" s="5">
        <f>Table34101112131814[[#This Row],[  40-44]]-Table341011121318[[#This Row],[  40-44]]</f>
        <v>19118</v>
      </c>
      <c r="K41" s="5">
        <f>Table34101112131814[[#This Row],[  45-49 ]]-Table341011121318[[#This Row],[  45-49 ]]</f>
        <v>19734</v>
      </c>
      <c r="L41" s="5">
        <f>Table34101112131814[[#This Row],[  50-54]]-Table341011121318[[#This Row],[  50-54]]</f>
        <v>20311</v>
      </c>
      <c r="M41" s="5">
        <f>Table34101112131814[[#This Row],[  55-59]]-Table341011121318[[#This Row],[  55-59]]</f>
        <v>20733</v>
      </c>
      <c r="N41" s="5">
        <f>Table34101112131814[[#This Row],[  60-64]]-Table341011121318[[#This Row],[  60-64]]</f>
        <v>20666</v>
      </c>
      <c r="O41" s="5">
        <f>Table34101112131814[[#This Row],[  65-69]]-Table341011121318[[#This Row],[  65-69]]</f>
        <v>17677</v>
      </c>
      <c r="P41" s="5">
        <f>Table34101112131814[[#This Row],[  70-74]]-Table341011121318[[#This Row],[  70-74]]</f>
        <v>15324</v>
      </c>
      <c r="Q41" s="5">
        <f>Table34101112131814[[#This Row],[  75-79]]-Table341011121318[[#This Row],[  75-79]]</f>
        <v>10606</v>
      </c>
      <c r="R41" s="5">
        <f>Table34101112131814[[#This Row],[  80-84]]-Table341011121318[[#This Row],[  80-84]]</f>
        <v>7531</v>
      </c>
      <c r="S41" s="5">
        <f>Table34101112131814[[#This Row],[  85-89]]-Table341011121318[[#This Row],[  85-89]]</f>
        <v>4086</v>
      </c>
      <c r="T41" s="5">
        <f>Table34101112131814[[#This Row],[  90+]]-Table341011121318[[#This Row],[  90+]]</f>
        <v>2438</v>
      </c>
    </row>
    <row r="42" spans="1:20" x14ac:dyDescent="0.2">
      <c r="A42" s="9" t="s">
        <v>14</v>
      </c>
      <c r="B42" s="6" t="s">
        <v>0</v>
      </c>
      <c r="C42" s="5">
        <f>Table34101112131814[[#This Row],[Total]]-Table341011121318[[#This Row],[Total]]</f>
        <v>150085</v>
      </c>
      <c r="D42" s="5">
        <f>Table34101112131814[[#This Row],[  5-11]]-Table341011121318[[#This Row],[  5-11]]</f>
        <v>11985</v>
      </c>
      <c r="E42" s="5">
        <f>Table34101112131814[[#This Row],[  12-17]]-Table341011121318[[#This Row],[  12-17]]</f>
        <v>10785</v>
      </c>
      <c r="F42" s="5">
        <f>Table34101112131814[[#This Row],[  18-24]]-Table341011121318[[#This Row],[  18-24]]</f>
        <v>15127</v>
      </c>
      <c r="G42" s="5">
        <f>Table34101112131814[[#This Row],[  25-29 ]]-Table341011121318[[#This Row],[  25-29 ]]</f>
        <v>11798</v>
      </c>
      <c r="H42" s="5">
        <f>Table34101112131814[[#This Row],[  30-34]]-Table341011121318[[#This Row],[  30-34]]</f>
        <v>12158</v>
      </c>
      <c r="I42" s="5">
        <f>Table34101112131814[[#This Row],[  35-39]]-Table341011121318[[#This Row],[  35-39]]</f>
        <v>10751</v>
      </c>
      <c r="J42" s="5">
        <f>Table34101112131814[[#This Row],[  40-44]]-Table341011121318[[#This Row],[  40-44]]</f>
        <v>9560</v>
      </c>
      <c r="K42" s="5">
        <f>Table34101112131814[[#This Row],[  45-49 ]]-Table341011121318[[#This Row],[  45-49 ]]</f>
        <v>9877</v>
      </c>
      <c r="L42" s="5">
        <f>Table34101112131814[[#This Row],[  50-54]]-Table341011121318[[#This Row],[  50-54]]</f>
        <v>10015</v>
      </c>
      <c r="M42" s="5">
        <f>Table34101112131814[[#This Row],[  55-59]]-Table341011121318[[#This Row],[  55-59]]</f>
        <v>10259</v>
      </c>
      <c r="N42" s="5">
        <f>Table34101112131814[[#This Row],[  60-64]]-Table341011121318[[#This Row],[  60-64]]</f>
        <v>10290</v>
      </c>
      <c r="O42" s="5">
        <f>Table34101112131814[[#This Row],[  65-69]]-Table341011121318[[#This Row],[  65-69]]</f>
        <v>8908</v>
      </c>
      <c r="P42" s="5">
        <f>Table34101112131814[[#This Row],[  70-74]]-Table341011121318[[#This Row],[  70-74]]</f>
        <v>7628</v>
      </c>
      <c r="Q42" s="5">
        <f>Table34101112131814[[#This Row],[  75-79]]-Table341011121318[[#This Row],[  75-79]]</f>
        <v>5098</v>
      </c>
      <c r="R42" s="5">
        <f>Table34101112131814[[#This Row],[  80-84]]-Table341011121318[[#This Row],[  80-84]]</f>
        <v>3398</v>
      </c>
      <c r="S42" s="5">
        <f>Table34101112131814[[#This Row],[  85-89]]-Table341011121318[[#This Row],[  85-89]]</f>
        <v>1672</v>
      </c>
      <c r="T42" s="5">
        <f>Table34101112131814[[#This Row],[  90+]]-Table341011121318[[#This Row],[  90+]]</f>
        <v>776</v>
      </c>
    </row>
    <row r="43" spans="1:20" x14ac:dyDescent="0.2">
      <c r="A43" s="9" t="s">
        <v>14</v>
      </c>
      <c r="B43" s="6" t="s">
        <v>23</v>
      </c>
      <c r="C43" s="5">
        <f>Table34101112131814[[#This Row],[Total]]-Table341011121318[[#This Row],[Total]]</f>
        <v>151537</v>
      </c>
      <c r="D43" s="5">
        <f>Table34101112131814[[#This Row],[  5-11]]-Table341011121318[[#This Row],[  5-11]]</f>
        <v>11372</v>
      </c>
      <c r="E43" s="5">
        <f>Table34101112131814[[#This Row],[  12-17]]-Table341011121318[[#This Row],[  12-17]]</f>
        <v>10046</v>
      </c>
      <c r="F43" s="5">
        <f>Table34101112131814[[#This Row],[  18-24]]-Table341011121318[[#This Row],[  18-24]]</f>
        <v>16226</v>
      </c>
      <c r="G43" s="5">
        <f>Table34101112131814[[#This Row],[  25-29 ]]-Table341011121318[[#This Row],[  25-29 ]]</f>
        <v>10871</v>
      </c>
      <c r="H43" s="5">
        <f>Table34101112131814[[#This Row],[  30-34]]-Table341011121318[[#This Row],[  30-34]]</f>
        <v>11769</v>
      </c>
      <c r="I43" s="5">
        <f>Table34101112131814[[#This Row],[  35-39]]-Table341011121318[[#This Row],[  35-39]]</f>
        <v>10510</v>
      </c>
      <c r="J43" s="5">
        <f>Table34101112131814[[#This Row],[  40-44]]-Table341011121318[[#This Row],[  40-44]]</f>
        <v>9558</v>
      </c>
      <c r="K43" s="5">
        <f>Table34101112131814[[#This Row],[  45-49 ]]-Table341011121318[[#This Row],[  45-49 ]]</f>
        <v>9857</v>
      </c>
      <c r="L43" s="5">
        <f>Table34101112131814[[#This Row],[  50-54]]-Table341011121318[[#This Row],[  50-54]]</f>
        <v>10296</v>
      </c>
      <c r="M43" s="5">
        <f>Table34101112131814[[#This Row],[  55-59]]-Table341011121318[[#This Row],[  55-59]]</f>
        <v>10474</v>
      </c>
      <c r="N43" s="5">
        <f>Table34101112131814[[#This Row],[  60-64]]-Table341011121318[[#This Row],[  60-64]]</f>
        <v>10376</v>
      </c>
      <c r="O43" s="5">
        <f>Table34101112131814[[#This Row],[  65-69]]-Table341011121318[[#This Row],[  65-69]]</f>
        <v>8769</v>
      </c>
      <c r="P43" s="5">
        <f>Table34101112131814[[#This Row],[  70-74]]-Table341011121318[[#This Row],[  70-74]]</f>
        <v>7696</v>
      </c>
      <c r="Q43" s="5">
        <f>Table34101112131814[[#This Row],[  75-79]]-Table341011121318[[#This Row],[  75-79]]</f>
        <v>5508</v>
      </c>
      <c r="R43" s="5">
        <f>Table34101112131814[[#This Row],[  80-84]]-Table341011121318[[#This Row],[  80-84]]</f>
        <v>4133</v>
      </c>
      <c r="S43" s="5">
        <f>Table34101112131814[[#This Row],[  85-89]]-Table341011121318[[#This Row],[  85-89]]</f>
        <v>2414</v>
      </c>
      <c r="T43" s="5">
        <f>Table34101112131814[[#This Row],[  90+]]-Table341011121318[[#This Row],[  90+]]</f>
        <v>1662</v>
      </c>
    </row>
    <row r="44" spans="1:20" x14ac:dyDescent="0.2">
      <c r="A44" s="9" t="s">
        <v>15</v>
      </c>
      <c r="B44" s="6" t="s">
        <v>22</v>
      </c>
      <c r="C44" s="5">
        <f>Table34101112131814[[#This Row],[Total]]-Table341011121318[[#This Row],[Total]]</f>
        <v>24897</v>
      </c>
      <c r="D44" s="5">
        <f>Table34101112131814[[#This Row],[  5-11]]-Table341011121318[[#This Row],[  5-11]]</f>
        <v>1981</v>
      </c>
      <c r="E44" s="5">
        <f>Table34101112131814[[#This Row],[  12-17]]-Table341011121318[[#This Row],[  12-17]]</f>
        <v>1737</v>
      </c>
      <c r="F44" s="5">
        <f>Table34101112131814[[#This Row],[  18-24]]-Table341011121318[[#This Row],[  18-24]]</f>
        <v>1623</v>
      </c>
      <c r="G44" s="5">
        <f>Table34101112131814[[#This Row],[  25-29 ]]-Table341011121318[[#This Row],[  25-29 ]]</f>
        <v>1652</v>
      </c>
      <c r="H44" s="5">
        <f>Table34101112131814[[#This Row],[  30-34]]-Table341011121318[[#This Row],[  30-34]]</f>
        <v>1777</v>
      </c>
      <c r="I44" s="5">
        <f>Table34101112131814[[#This Row],[  35-39]]-Table341011121318[[#This Row],[  35-39]]</f>
        <v>1633</v>
      </c>
      <c r="J44" s="5">
        <f>Table34101112131814[[#This Row],[  40-44]]-Table341011121318[[#This Row],[  40-44]]</f>
        <v>1609</v>
      </c>
      <c r="K44" s="5">
        <f>Table34101112131814[[#This Row],[  45-49 ]]-Table341011121318[[#This Row],[  45-49 ]]</f>
        <v>1648</v>
      </c>
      <c r="L44" s="5">
        <f>Table34101112131814[[#This Row],[  50-54]]-Table341011121318[[#This Row],[  50-54]]</f>
        <v>1715</v>
      </c>
      <c r="M44" s="5">
        <f>Table34101112131814[[#This Row],[  55-59]]-Table341011121318[[#This Row],[  55-59]]</f>
        <v>1800</v>
      </c>
      <c r="N44" s="5">
        <f>Table34101112131814[[#This Row],[  60-64]]-Table341011121318[[#This Row],[  60-64]]</f>
        <v>1867</v>
      </c>
      <c r="O44" s="5">
        <f>Table34101112131814[[#This Row],[  65-69]]-Table341011121318[[#This Row],[  65-69]]</f>
        <v>1758</v>
      </c>
      <c r="P44" s="5">
        <f>Table34101112131814[[#This Row],[  70-74]]-Table341011121318[[#This Row],[  70-74]]</f>
        <v>1561</v>
      </c>
      <c r="Q44" s="5">
        <f>Table34101112131814[[#This Row],[  75-79]]-Table341011121318[[#This Row],[  75-79]]</f>
        <v>1049</v>
      </c>
      <c r="R44" s="5">
        <f>Table34101112131814[[#This Row],[  80-84]]-Table341011121318[[#This Row],[  80-84]]</f>
        <v>793</v>
      </c>
      <c r="S44" s="5">
        <f>Table34101112131814[[#This Row],[  85-89]]-Table341011121318[[#This Row],[  85-89]]</f>
        <v>405</v>
      </c>
      <c r="T44" s="5">
        <f>Table34101112131814[[#This Row],[  90+]]-Table341011121318[[#This Row],[  90+]]</f>
        <v>289</v>
      </c>
    </row>
    <row r="45" spans="1:20" x14ac:dyDescent="0.2">
      <c r="A45" s="9" t="s">
        <v>15</v>
      </c>
      <c r="B45" s="6" t="s">
        <v>0</v>
      </c>
      <c r="C45" s="5">
        <f>Table34101112131814[[#This Row],[Total]]-Table341011121318[[#This Row],[Total]]</f>
        <v>12649</v>
      </c>
      <c r="D45" s="5">
        <f>Table34101112131814[[#This Row],[  5-11]]-Table341011121318[[#This Row],[  5-11]]</f>
        <v>1025</v>
      </c>
      <c r="E45" s="5">
        <f>Table34101112131814[[#This Row],[  12-17]]-Table341011121318[[#This Row],[  12-17]]</f>
        <v>886</v>
      </c>
      <c r="F45" s="5">
        <f>Table34101112131814[[#This Row],[  18-24]]-Table341011121318[[#This Row],[  18-24]]</f>
        <v>922</v>
      </c>
      <c r="G45" s="5">
        <f>Table34101112131814[[#This Row],[  25-29 ]]-Table341011121318[[#This Row],[  25-29 ]]</f>
        <v>895</v>
      </c>
      <c r="H45" s="5">
        <f>Table34101112131814[[#This Row],[  30-34]]-Table341011121318[[#This Row],[  30-34]]</f>
        <v>929</v>
      </c>
      <c r="I45" s="5">
        <f>Table34101112131814[[#This Row],[  35-39]]-Table341011121318[[#This Row],[  35-39]]</f>
        <v>809</v>
      </c>
      <c r="J45" s="5">
        <f>Table34101112131814[[#This Row],[  40-44]]-Table341011121318[[#This Row],[  40-44]]</f>
        <v>792</v>
      </c>
      <c r="K45" s="5">
        <f>Table34101112131814[[#This Row],[  45-49 ]]-Table341011121318[[#This Row],[  45-49 ]]</f>
        <v>873</v>
      </c>
      <c r="L45" s="5">
        <f>Table34101112131814[[#This Row],[  50-54]]-Table341011121318[[#This Row],[  50-54]]</f>
        <v>848</v>
      </c>
      <c r="M45" s="5">
        <f>Table34101112131814[[#This Row],[  55-59]]-Table341011121318[[#This Row],[  55-59]]</f>
        <v>913</v>
      </c>
      <c r="N45" s="5">
        <f>Table34101112131814[[#This Row],[  60-64]]-Table341011121318[[#This Row],[  60-64]]</f>
        <v>908</v>
      </c>
      <c r="O45" s="5">
        <f>Table34101112131814[[#This Row],[  65-69]]-Table341011121318[[#This Row],[  65-69]]</f>
        <v>928</v>
      </c>
      <c r="P45" s="5">
        <f>Table34101112131814[[#This Row],[  70-74]]-Table341011121318[[#This Row],[  70-74]]</f>
        <v>779</v>
      </c>
      <c r="Q45" s="5">
        <f>Table34101112131814[[#This Row],[  75-79]]-Table341011121318[[#This Row],[  75-79]]</f>
        <v>522</v>
      </c>
      <c r="R45" s="5">
        <f>Table34101112131814[[#This Row],[  80-84]]-Table341011121318[[#This Row],[  80-84]]</f>
        <v>344</v>
      </c>
      <c r="S45" s="5">
        <f>Table34101112131814[[#This Row],[  85-89]]-Table341011121318[[#This Row],[  85-89]]</f>
        <v>177</v>
      </c>
      <c r="T45" s="5">
        <f>Table34101112131814[[#This Row],[  90+]]-Table341011121318[[#This Row],[  90+]]</f>
        <v>99</v>
      </c>
    </row>
    <row r="46" spans="1:20" x14ac:dyDescent="0.2">
      <c r="A46" s="9" t="s">
        <v>15</v>
      </c>
      <c r="B46" s="6" t="s">
        <v>23</v>
      </c>
      <c r="C46" s="5">
        <f>Table34101112131814[[#This Row],[Total]]-Table341011121318[[#This Row],[Total]]</f>
        <v>12248</v>
      </c>
      <c r="D46" s="5">
        <f>Table34101112131814[[#This Row],[  5-11]]-Table341011121318[[#This Row],[  5-11]]</f>
        <v>956</v>
      </c>
      <c r="E46" s="5">
        <f>Table34101112131814[[#This Row],[  12-17]]-Table341011121318[[#This Row],[  12-17]]</f>
        <v>851</v>
      </c>
      <c r="F46" s="5">
        <f>Table34101112131814[[#This Row],[  18-24]]-Table341011121318[[#This Row],[  18-24]]</f>
        <v>701</v>
      </c>
      <c r="G46" s="5">
        <f>Table34101112131814[[#This Row],[  25-29 ]]-Table341011121318[[#This Row],[  25-29 ]]</f>
        <v>757</v>
      </c>
      <c r="H46" s="5">
        <f>Table34101112131814[[#This Row],[  30-34]]-Table341011121318[[#This Row],[  30-34]]</f>
        <v>848</v>
      </c>
      <c r="I46" s="5">
        <f>Table34101112131814[[#This Row],[  35-39]]-Table341011121318[[#This Row],[  35-39]]</f>
        <v>824</v>
      </c>
      <c r="J46" s="5">
        <f>Table34101112131814[[#This Row],[  40-44]]-Table341011121318[[#This Row],[  40-44]]</f>
        <v>817</v>
      </c>
      <c r="K46" s="5">
        <f>Table34101112131814[[#This Row],[  45-49 ]]-Table341011121318[[#This Row],[  45-49 ]]</f>
        <v>775</v>
      </c>
      <c r="L46" s="5">
        <f>Table34101112131814[[#This Row],[  50-54]]-Table341011121318[[#This Row],[  50-54]]</f>
        <v>867</v>
      </c>
      <c r="M46" s="5">
        <f>Table34101112131814[[#This Row],[  55-59]]-Table341011121318[[#This Row],[  55-59]]</f>
        <v>887</v>
      </c>
      <c r="N46" s="5">
        <f>Table34101112131814[[#This Row],[  60-64]]-Table341011121318[[#This Row],[  60-64]]</f>
        <v>959</v>
      </c>
      <c r="O46" s="5">
        <f>Table34101112131814[[#This Row],[  65-69]]-Table341011121318[[#This Row],[  65-69]]</f>
        <v>830</v>
      </c>
      <c r="P46" s="5">
        <f>Table34101112131814[[#This Row],[  70-74]]-Table341011121318[[#This Row],[  70-74]]</f>
        <v>782</v>
      </c>
      <c r="Q46" s="5">
        <f>Table34101112131814[[#This Row],[  75-79]]-Table341011121318[[#This Row],[  75-79]]</f>
        <v>527</v>
      </c>
      <c r="R46" s="5">
        <f>Table34101112131814[[#This Row],[  80-84]]-Table341011121318[[#This Row],[  80-84]]</f>
        <v>449</v>
      </c>
      <c r="S46" s="5">
        <f>Table34101112131814[[#This Row],[  85-89]]-Table341011121318[[#This Row],[  85-89]]</f>
        <v>228</v>
      </c>
      <c r="T46" s="5">
        <f>Table34101112131814[[#This Row],[  90+]]-Table341011121318[[#This Row],[  90+]]</f>
        <v>190</v>
      </c>
    </row>
    <row r="47" spans="1:20" x14ac:dyDescent="0.2">
      <c r="A47" s="9" t="s">
        <v>16</v>
      </c>
      <c r="B47" s="6" t="s">
        <v>22</v>
      </c>
      <c r="C47" s="5">
        <f>Table34101112131814[[#This Row],[Total]]-Table341011121318[[#This Row],[Total]]</f>
        <v>98524</v>
      </c>
      <c r="D47" s="5">
        <f>Table34101112131814[[#This Row],[  5-11]]-Table341011121318[[#This Row],[  5-11]]</f>
        <v>8695</v>
      </c>
      <c r="E47" s="5">
        <f>Table34101112131814[[#This Row],[  12-17]]-Table341011121318[[#This Row],[  12-17]]</f>
        <v>7686</v>
      </c>
      <c r="F47" s="5">
        <f>Table34101112131814[[#This Row],[  18-24]]-Table341011121318[[#This Row],[  18-24]]</f>
        <v>6954</v>
      </c>
      <c r="G47" s="5">
        <f>Table34101112131814[[#This Row],[  25-29 ]]-Table341011121318[[#This Row],[  25-29 ]]</f>
        <v>5688</v>
      </c>
      <c r="H47" s="5">
        <f>Table34101112131814[[#This Row],[  30-34]]-Table341011121318[[#This Row],[  30-34]]</f>
        <v>6689</v>
      </c>
      <c r="I47" s="5">
        <f>Table34101112131814[[#This Row],[  35-39]]-Table341011121318[[#This Row],[  35-39]]</f>
        <v>6610</v>
      </c>
      <c r="J47" s="5">
        <f>Table34101112131814[[#This Row],[  40-44]]-Table341011121318[[#This Row],[  40-44]]</f>
        <v>6356</v>
      </c>
      <c r="K47" s="5">
        <f>Table34101112131814[[#This Row],[  45-49 ]]-Table341011121318[[#This Row],[  45-49 ]]</f>
        <v>6724</v>
      </c>
      <c r="L47" s="5">
        <f>Table34101112131814[[#This Row],[  50-54]]-Table341011121318[[#This Row],[  50-54]]</f>
        <v>7019</v>
      </c>
      <c r="M47" s="5">
        <f>Table34101112131814[[#This Row],[  55-59]]-Table341011121318[[#This Row],[  55-59]]</f>
        <v>7086</v>
      </c>
      <c r="N47" s="5">
        <f>Table34101112131814[[#This Row],[  60-64]]-Table341011121318[[#This Row],[  60-64]]</f>
        <v>7323</v>
      </c>
      <c r="O47" s="5">
        <f>Table34101112131814[[#This Row],[  65-69]]-Table341011121318[[#This Row],[  65-69]]</f>
        <v>6514</v>
      </c>
      <c r="P47" s="5">
        <f>Table34101112131814[[#This Row],[  70-74]]-Table341011121318[[#This Row],[  70-74]]</f>
        <v>5682</v>
      </c>
      <c r="Q47" s="5">
        <f>Table34101112131814[[#This Row],[  75-79]]-Table341011121318[[#This Row],[  75-79]]</f>
        <v>4083</v>
      </c>
      <c r="R47" s="5">
        <f>Table34101112131814[[#This Row],[  80-84]]-Table341011121318[[#This Row],[  80-84]]</f>
        <v>2723</v>
      </c>
      <c r="S47" s="5">
        <f>Table34101112131814[[#This Row],[  85-89]]-Table341011121318[[#This Row],[  85-89]]</f>
        <v>1670</v>
      </c>
      <c r="T47" s="5">
        <f>Table34101112131814[[#This Row],[  90+]]-Table341011121318[[#This Row],[  90+]]</f>
        <v>1022</v>
      </c>
    </row>
    <row r="48" spans="1:20" x14ac:dyDescent="0.2">
      <c r="A48" s="9" t="s">
        <v>16</v>
      </c>
      <c r="B48" s="6" t="s">
        <v>0</v>
      </c>
      <c r="C48" s="5">
        <f>Table34101112131814[[#This Row],[Total]]-Table341011121318[[#This Row],[Total]]</f>
        <v>48879</v>
      </c>
      <c r="D48" s="5">
        <f>Table34101112131814[[#This Row],[  5-11]]-Table341011121318[[#This Row],[  5-11]]</f>
        <v>4469</v>
      </c>
      <c r="E48" s="5">
        <f>Table34101112131814[[#This Row],[  12-17]]-Table341011121318[[#This Row],[  12-17]]</f>
        <v>3946</v>
      </c>
      <c r="F48" s="5">
        <f>Table34101112131814[[#This Row],[  18-24]]-Table341011121318[[#This Row],[  18-24]]</f>
        <v>3758</v>
      </c>
      <c r="G48" s="5">
        <f>Table34101112131814[[#This Row],[  25-29 ]]-Table341011121318[[#This Row],[  25-29 ]]</f>
        <v>2862</v>
      </c>
      <c r="H48" s="5">
        <f>Table34101112131814[[#This Row],[  30-34]]-Table341011121318[[#This Row],[  30-34]]</f>
        <v>3229</v>
      </c>
      <c r="I48" s="5">
        <f>Table34101112131814[[#This Row],[  35-39]]-Table341011121318[[#This Row],[  35-39]]</f>
        <v>3265</v>
      </c>
      <c r="J48" s="5">
        <f>Table34101112131814[[#This Row],[  40-44]]-Table341011121318[[#This Row],[  40-44]]</f>
        <v>3159</v>
      </c>
      <c r="K48" s="5">
        <f>Table34101112131814[[#This Row],[  45-49 ]]-Table341011121318[[#This Row],[  45-49 ]]</f>
        <v>3322</v>
      </c>
      <c r="L48" s="5">
        <f>Table34101112131814[[#This Row],[  50-54]]-Table341011121318[[#This Row],[  50-54]]</f>
        <v>3478</v>
      </c>
      <c r="M48" s="5">
        <f>Table34101112131814[[#This Row],[  55-59]]-Table341011121318[[#This Row],[  55-59]]</f>
        <v>3470</v>
      </c>
      <c r="N48" s="5">
        <f>Table34101112131814[[#This Row],[  60-64]]-Table341011121318[[#This Row],[  60-64]]</f>
        <v>3593</v>
      </c>
      <c r="O48" s="5">
        <f>Table34101112131814[[#This Row],[  65-69]]-Table341011121318[[#This Row],[  65-69]]</f>
        <v>3264</v>
      </c>
      <c r="P48" s="5">
        <f>Table34101112131814[[#This Row],[  70-74]]-Table341011121318[[#This Row],[  70-74]]</f>
        <v>2803</v>
      </c>
      <c r="Q48" s="5">
        <f>Table34101112131814[[#This Row],[  75-79]]-Table341011121318[[#This Row],[  75-79]]</f>
        <v>1976</v>
      </c>
      <c r="R48" s="5">
        <f>Table34101112131814[[#This Row],[  80-84]]-Table341011121318[[#This Row],[  80-84]]</f>
        <v>1234</v>
      </c>
      <c r="S48" s="5">
        <f>Table34101112131814[[#This Row],[  85-89]]-Table341011121318[[#This Row],[  85-89]]</f>
        <v>675</v>
      </c>
      <c r="T48" s="5">
        <f>Table34101112131814[[#This Row],[  90+]]-Table341011121318[[#This Row],[  90+]]</f>
        <v>376</v>
      </c>
    </row>
    <row r="49" spans="1:20" x14ac:dyDescent="0.2">
      <c r="A49" s="9" t="s">
        <v>16</v>
      </c>
      <c r="B49" s="6" t="s">
        <v>23</v>
      </c>
      <c r="C49" s="5">
        <f>Table34101112131814[[#This Row],[Total]]-Table341011121318[[#This Row],[Total]]</f>
        <v>49645</v>
      </c>
      <c r="D49" s="5">
        <f>Table34101112131814[[#This Row],[  5-11]]-Table341011121318[[#This Row],[  5-11]]</f>
        <v>4226</v>
      </c>
      <c r="E49" s="5">
        <f>Table34101112131814[[#This Row],[  12-17]]-Table341011121318[[#This Row],[  12-17]]</f>
        <v>3740</v>
      </c>
      <c r="F49" s="5">
        <f>Table34101112131814[[#This Row],[  18-24]]-Table341011121318[[#This Row],[  18-24]]</f>
        <v>3196</v>
      </c>
      <c r="G49" s="5">
        <f>Table34101112131814[[#This Row],[  25-29 ]]-Table341011121318[[#This Row],[  25-29 ]]</f>
        <v>2826</v>
      </c>
      <c r="H49" s="5">
        <f>Table34101112131814[[#This Row],[  30-34]]-Table341011121318[[#This Row],[  30-34]]</f>
        <v>3460</v>
      </c>
      <c r="I49" s="5">
        <f>Table34101112131814[[#This Row],[  35-39]]-Table341011121318[[#This Row],[  35-39]]</f>
        <v>3345</v>
      </c>
      <c r="J49" s="5">
        <f>Table34101112131814[[#This Row],[  40-44]]-Table341011121318[[#This Row],[  40-44]]</f>
        <v>3197</v>
      </c>
      <c r="K49" s="5">
        <f>Table34101112131814[[#This Row],[  45-49 ]]-Table341011121318[[#This Row],[  45-49 ]]</f>
        <v>3402</v>
      </c>
      <c r="L49" s="5">
        <f>Table34101112131814[[#This Row],[  50-54]]-Table341011121318[[#This Row],[  50-54]]</f>
        <v>3541</v>
      </c>
      <c r="M49" s="5">
        <f>Table34101112131814[[#This Row],[  55-59]]-Table341011121318[[#This Row],[  55-59]]</f>
        <v>3616</v>
      </c>
      <c r="N49" s="5">
        <f>Table34101112131814[[#This Row],[  60-64]]-Table341011121318[[#This Row],[  60-64]]</f>
        <v>3730</v>
      </c>
      <c r="O49" s="5">
        <f>Table34101112131814[[#This Row],[  65-69]]-Table341011121318[[#This Row],[  65-69]]</f>
        <v>3250</v>
      </c>
      <c r="P49" s="5">
        <f>Table34101112131814[[#This Row],[  70-74]]-Table341011121318[[#This Row],[  70-74]]</f>
        <v>2879</v>
      </c>
      <c r="Q49" s="5">
        <f>Table34101112131814[[#This Row],[  75-79]]-Table341011121318[[#This Row],[  75-79]]</f>
        <v>2107</v>
      </c>
      <c r="R49" s="5">
        <f>Table34101112131814[[#This Row],[  80-84]]-Table341011121318[[#This Row],[  80-84]]</f>
        <v>1489</v>
      </c>
      <c r="S49" s="5">
        <f>Table34101112131814[[#This Row],[  85-89]]-Table341011121318[[#This Row],[  85-89]]</f>
        <v>995</v>
      </c>
      <c r="T49" s="5">
        <f>Table34101112131814[[#This Row],[  90+]]-Table341011121318[[#This Row],[  90+]]</f>
        <v>646</v>
      </c>
    </row>
    <row r="50" spans="1:20" x14ac:dyDescent="0.2">
      <c r="A50" s="11" t="s">
        <v>17</v>
      </c>
      <c r="B50" s="6" t="s">
        <v>22</v>
      </c>
      <c r="C50" s="5">
        <f>Table34101112131814[[#This Row],[Total]]-Table341011121318[[#This Row],[Total]]</f>
        <v>330561</v>
      </c>
      <c r="D50" s="5">
        <f>Table34101112131814[[#This Row],[  5-11]]-Table341011121318[[#This Row],[  5-11]]</f>
        <v>28779</v>
      </c>
      <c r="E50" s="5">
        <f>Table34101112131814[[#This Row],[  12-17]]-Table341011121318[[#This Row],[  12-17]]</f>
        <v>25212</v>
      </c>
      <c r="F50" s="5">
        <f>Table34101112131814[[#This Row],[  18-24]]-Table341011121318[[#This Row],[  18-24]]</f>
        <v>27396</v>
      </c>
      <c r="G50" s="5">
        <f>Table34101112131814[[#This Row],[  25-29 ]]-Table341011121318[[#This Row],[  25-29 ]]</f>
        <v>23943</v>
      </c>
      <c r="H50" s="5">
        <f>Table34101112131814[[#This Row],[  30-34]]-Table341011121318[[#This Row],[  30-34]]</f>
        <v>25271</v>
      </c>
      <c r="I50" s="5">
        <f>Table34101112131814[[#This Row],[  35-39]]-Table341011121318[[#This Row],[  35-39]]</f>
        <v>23177</v>
      </c>
      <c r="J50" s="5">
        <f>Table34101112131814[[#This Row],[  40-44]]-Table341011121318[[#This Row],[  40-44]]</f>
        <v>21041</v>
      </c>
      <c r="K50" s="5">
        <f>Table34101112131814[[#This Row],[  45-49 ]]-Table341011121318[[#This Row],[  45-49 ]]</f>
        <v>21420</v>
      </c>
      <c r="L50" s="5">
        <f>Table34101112131814[[#This Row],[  50-54]]-Table341011121318[[#This Row],[  50-54]]</f>
        <v>22779</v>
      </c>
      <c r="M50" s="5">
        <f>Table34101112131814[[#This Row],[  55-59]]-Table341011121318[[#This Row],[  55-59]]</f>
        <v>21763</v>
      </c>
      <c r="N50" s="5">
        <f>Table34101112131814[[#This Row],[  60-64]]-Table341011121318[[#This Row],[  60-64]]</f>
        <v>22067</v>
      </c>
      <c r="O50" s="5">
        <f>Table34101112131814[[#This Row],[  65-69]]-Table341011121318[[#This Row],[  65-69]]</f>
        <v>19935</v>
      </c>
      <c r="P50" s="5">
        <f>Table34101112131814[[#This Row],[  70-74]]-Table341011121318[[#This Row],[  70-74]]</f>
        <v>18041</v>
      </c>
      <c r="Q50" s="5">
        <f>Table34101112131814[[#This Row],[  75-79]]-Table341011121318[[#This Row],[  75-79]]</f>
        <v>13162</v>
      </c>
      <c r="R50" s="5">
        <f>Table34101112131814[[#This Row],[  80-84]]-Table341011121318[[#This Row],[  80-84]]</f>
        <v>8995</v>
      </c>
      <c r="S50" s="5">
        <f>Table34101112131814[[#This Row],[  85-89]]-Table341011121318[[#This Row],[  85-89]]</f>
        <v>4796</v>
      </c>
      <c r="T50" s="5">
        <f>Table34101112131814[[#This Row],[  90+]]-Table341011121318[[#This Row],[  90+]]</f>
        <v>2784</v>
      </c>
    </row>
    <row r="51" spans="1:20" x14ac:dyDescent="0.2">
      <c r="A51" s="11" t="s">
        <v>17</v>
      </c>
      <c r="B51" s="6" t="s">
        <v>0</v>
      </c>
      <c r="C51" s="5">
        <f>Table34101112131814[[#This Row],[Total]]-Table341011121318[[#This Row],[Total]]</f>
        <v>164719</v>
      </c>
      <c r="D51" s="5">
        <f>Table34101112131814[[#This Row],[  5-11]]-Table341011121318[[#This Row],[  5-11]]</f>
        <v>14755</v>
      </c>
      <c r="E51" s="5">
        <f>Table34101112131814[[#This Row],[  12-17]]-Table341011121318[[#This Row],[  12-17]]</f>
        <v>12820</v>
      </c>
      <c r="F51" s="5">
        <f>Table34101112131814[[#This Row],[  18-24]]-Table341011121318[[#This Row],[  18-24]]</f>
        <v>14153</v>
      </c>
      <c r="G51" s="5">
        <f>Table34101112131814[[#This Row],[  25-29 ]]-Table341011121318[[#This Row],[  25-29 ]]</f>
        <v>12521</v>
      </c>
      <c r="H51" s="5">
        <f>Table34101112131814[[#This Row],[  30-34]]-Table341011121318[[#This Row],[  30-34]]</f>
        <v>12560</v>
      </c>
      <c r="I51" s="5">
        <f>Table34101112131814[[#This Row],[  35-39]]-Table341011121318[[#This Row],[  35-39]]</f>
        <v>11556</v>
      </c>
      <c r="J51" s="5">
        <f>Table34101112131814[[#This Row],[  40-44]]-Table341011121318[[#This Row],[  40-44]]</f>
        <v>10577</v>
      </c>
      <c r="K51" s="5">
        <f>Table34101112131814[[#This Row],[  45-49 ]]-Table341011121318[[#This Row],[  45-49 ]]</f>
        <v>10708</v>
      </c>
      <c r="L51" s="5">
        <f>Table34101112131814[[#This Row],[  50-54]]-Table341011121318[[#This Row],[  50-54]]</f>
        <v>11231</v>
      </c>
      <c r="M51" s="5">
        <f>Table34101112131814[[#This Row],[  55-59]]-Table341011121318[[#This Row],[  55-59]]</f>
        <v>10708</v>
      </c>
      <c r="N51" s="5">
        <f>Table34101112131814[[#This Row],[  60-64]]-Table341011121318[[#This Row],[  60-64]]</f>
        <v>10842</v>
      </c>
      <c r="O51" s="5">
        <f>Table34101112131814[[#This Row],[  65-69]]-Table341011121318[[#This Row],[  65-69]]</f>
        <v>9758</v>
      </c>
      <c r="P51" s="5">
        <f>Table34101112131814[[#This Row],[  70-74]]-Table341011121318[[#This Row],[  70-74]]</f>
        <v>8984</v>
      </c>
      <c r="Q51" s="5">
        <f>Table34101112131814[[#This Row],[  75-79]]-Table341011121318[[#This Row],[  75-79]]</f>
        <v>6294</v>
      </c>
      <c r="R51" s="5">
        <f>Table34101112131814[[#This Row],[  80-84]]-Table341011121318[[#This Row],[  80-84]]</f>
        <v>4173</v>
      </c>
      <c r="S51" s="5">
        <f>Table34101112131814[[#This Row],[  85-89]]-Table341011121318[[#This Row],[  85-89]]</f>
        <v>2079</v>
      </c>
      <c r="T51" s="5">
        <f>Table34101112131814[[#This Row],[  90+]]-Table341011121318[[#This Row],[  90+]]</f>
        <v>1000</v>
      </c>
    </row>
    <row r="52" spans="1:20" x14ac:dyDescent="0.2">
      <c r="A52" s="11" t="s">
        <v>17</v>
      </c>
      <c r="B52" s="6" t="s">
        <v>23</v>
      </c>
      <c r="C52" s="5">
        <f>Table34101112131814[[#This Row],[Total]]-Table341011121318[[#This Row],[Total]]</f>
        <v>165842</v>
      </c>
      <c r="D52" s="5">
        <f>Table34101112131814[[#This Row],[  5-11]]-Table341011121318[[#This Row],[  5-11]]</f>
        <v>14024</v>
      </c>
      <c r="E52" s="5">
        <f>Table34101112131814[[#This Row],[  12-17]]-Table341011121318[[#This Row],[  12-17]]</f>
        <v>12392</v>
      </c>
      <c r="F52" s="5">
        <f>Table34101112131814[[#This Row],[  18-24]]-Table341011121318[[#This Row],[  18-24]]</f>
        <v>13243</v>
      </c>
      <c r="G52" s="5">
        <f>Table34101112131814[[#This Row],[  25-29 ]]-Table341011121318[[#This Row],[  25-29 ]]</f>
        <v>11422</v>
      </c>
      <c r="H52" s="5">
        <f>Table34101112131814[[#This Row],[  30-34]]-Table341011121318[[#This Row],[  30-34]]</f>
        <v>12711</v>
      </c>
      <c r="I52" s="5">
        <f>Table34101112131814[[#This Row],[  35-39]]-Table341011121318[[#This Row],[  35-39]]</f>
        <v>11621</v>
      </c>
      <c r="J52" s="5">
        <f>Table34101112131814[[#This Row],[  40-44]]-Table341011121318[[#This Row],[  40-44]]</f>
        <v>10464</v>
      </c>
      <c r="K52" s="5">
        <f>Table34101112131814[[#This Row],[  45-49 ]]-Table341011121318[[#This Row],[  45-49 ]]</f>
        <v>10712</v>
      </c>
      <c r="L52" s="5">
        <f>Table34101112131814[[#This Row],[  50-54]]-Table341011121318[[#This Row],[  50-54]]</f>
        <v>11548</v>
      </c>
      <c r="M52" s="5">
        <f>Table34101112131814[[#This Row],[  55-59]]-Table341011121318[[#This Row],[  55-59]]</f>
        <v>11055</v>
      </c>
      <c r="N52" s="5">
        <f>Table34101112131814[[#This Row],[  60-64]]-Table341011121318[[#This Row],[  60-64]]</f>
        <v>11225</v>
      </c>
      <c r="O52" s="5">
        <f>Table34101112131814[[#This Row],[  65-69]]-Table341011121318[[#This Row],[  65-69]]</f>
        <v>10177</v>
      </c>
      <c r="P52" s="5">
        <f>Table34101112131814[[#This Row],[  70-74]]-Table341011121318[[#This Row],[  70-74]]</f>
        <v>9057</v>
      </c>
      <c r="Q52" s="5">
        <f>Table34101112131814[[#This Row],[  75-79]]-Table341011121318[[#This Row],[  75-79]]</f>
        <v>6868</v>
      </c>
      <c r="R52" s="5">
        <f>Table34101112131814[[#This Row],[  80-84]]-Table341011121318[[#This Row],[  80-84]]</f>
        <v>4822</v>
      </c>
      <c r="S52" s="5">
        <f>Table34101112131814[[#This Row],[  85-89]]-Table341011121318[[#This Row],[  85-89]]</f>
        <v>2717</v>
      </c>
      <c r="T52" s="5">
        <f>Table34101112131814[[#This Row],[  90+]]-Table341011121318[[#This Row],[  90+]]</f>
        <v>1784</v>
      </c>
    </row>
    <row r="53" spans="1:20" x14ac:dyDescent="0.2">
      <c r="A53" s="9" t="s">
        <v>18</v>
      </c>
      <c r="B53" s="6" t="s">
        <v>22</v>
      </c>
      <c r="C53" s="5">
        <f>Table34101112131814[[#This Row],[Total]]-Table341011121318[[#This Row],[Total]]</f>
        <v>39278</v>
      </c>
      <c r="D53" s="5">
        <f>Table34101112131814[[#This Row],[  5-11]]-Table341011121318[[#This Row],[  5-11]]</f>
        <v>2895</v>
      </c>
      <c r="E53" s="5">
        <f>Table34101112131814[[#This Row],[  12-17]]-Table341011121318[[#This Row],[  12-17]]</f>
        <v>2756</v>
      </c>
      <c r="F53" s="5">
        <f>Table34101112131814[[#This Row],[  18-24]]-Table341011121318[[#This Row],[  18-24]]</f>
        <v>2408</v>
      </c>
      <c r="G53" s="5">
        <f>Table34101112131814[[#This Row],[  25-29 ]]-Table341011121318[[#This Row],[  25-29 ]]</f>
        <v>2048</v>
      </c>
      <c r="H53" s="5">
        <f>Table34101112131814[[#This Row],[  30-34]]-Table341011121318[[#This Row],[  30-34]]</f>
        <v>2306</v>
      </c>
      <c r="I53" s="5">
        <f>Table34101112131814[[#This Row],[  35-39]]-Table341011121318[[#This Row],[  35-39]]</f>
        <v>2163</v>
      </c>
      <c r="J53" s="5">
        <f>Table34101112131814[[#This Row],[  40-44]]-Table341011121318[[#This Row],[  40-44]]</f>
        <v>2269</v>
      </c>
      <c r="K53" s="5">
        <f>Table34101112131814[[#This Row],[  45-49 ]]-Table341011121318[[#This Row],[  45-49 ]]</f>
        <v>2560</v>
      </c>
      <c r="L53" s="5">
        <f>Table34101112131814[[#This Row],[  50-54]]-Table341011121318[[#This Row],[  50-54]]</f>
        <v>2997</v>
      </c>
      <c r="M53" s="5">
        <f>Table34101112131814[[#This Row],[  55-59]]-Table341011121318[[#This Row],[  55-59]]</f>
        <v>3084</v>
      </c>
      <c r="N53" s="5">
        <f>Table34101112131814[[#This Row],[  60-64]]-Table341011121318[[#This Row],[  60-64]]</f>
        <v>3323</v>
      </c>
      <c r="O53" s="5">
        <f>Table34101112131814[[#This Row],[  65-69]]-Table341011121318[[#This Row],[  65-69]]</f>
        <v>3070</v>
      </c>
      <c r="P53" s="5">
        <f>Table34101112131814[[#This Row],[  70-74]]-Table341011121318[[#This Row],[  70-74]]</f>
        <v>2899</v>
      </c>
      <c r="Q53" s="5">
        <f>Table34101112131814[[#This Row],[  75-79]]-Table341011121318[[#This Row],[  75-79]]</f>
        <v>2038</v>
      </c>
      <c r="R53" s="5">
        <f>Table34101112131814[[#This Row],[  80-84]]-Table341011121318[[#This Row],[  80-84]]</f>
        <v>1352</v>
      </c>
      <c r="S53" s="5">
        <f>Table34101112131814[[#This Row],[  85-89]]-Table341011121318[[#This Row],[  85-89]]</f>
        <v>693</v>
      </c>
      <c r="T53" s="5">
        <f>Table34101112131814[[#This Row],[  90+]]-Table341011121318[[#This Row],[  90+]]</f>
        <v>417</v>
      </c>
    </row>
    <row r="54" spans="1:20" x14ac:dyDescent="0.2">
      <c r="A54" s="9" t="s">
        <v>18</v>
      </c>
      <c r="B54" s="6" t="s">
        <v>0</v>
      </c>
      <c r="C54" s="5">
        <f>Table34101112131814[[#This Row],[Total]]-Table341011121318[[#This Row],[Total]]</f>
        <v>19308</v>
      </c>
      <c r="D54" s="5">
        <f>Table34101112131814[[#This Row],[  5-11]]-Table341011121318[[#This Row],[  5-11]]</f>
        <v>1489</v>
      </c>
      <c r="E54" s="5">
        <f>Table34101112131814[[#This Row],[  12-17]]-Table341011121318[[#This Row],[  12-17]]</f>
        <v>1431</v>
      </c>
      <c r="F54" s="5">
        <f>Table34101112131814[[#This Row],[  18-24]]-Table341011121318[[#This Row],[  18-24]]</f>
        <v>1255</v>
      </c>
      <c r="G54" s="5">
        <f>Table34101112131814[[#This Row],[  25-29 ]]-Table341011121318[[#This Row],[  25-29 ]]</f>
        <v>1044</v>
      </c>
      <c r="H54" s="5">
        <f>Table34101112131814[[#This Row],[  30-34]]-Table341011121318[[#This Row],[  30-34]]</f>
        <v>1161</v>
      </c>
      <c r="I54" s="5">
        <f>Table34101112131814[[#This Row],[  35-39]]-Table341011121318[[#This Row],[  35-39]]</f>
        <v>1092</v>
      </c>
      <c r="J54" s="5">
        <f>Table34101112131814[[#This Row],[  40-44]]-Table341011121318[[#This Row],[  40-44]]</f>
        <v>1069</v>
      </c>
      <c r="K54" s="5">
        <f>Table34101112131814[[#This Row],[  45-49 ]]-Table341011121318[[#This Row],[  45-49 ]]</f>
        <v>1225</v>
      </c>
      <c r="L54" s="5">
        <f>Table34101112131814[[#This Row],[  50-54]]-Table341011121318[[#This Row],[  50-54]]</f>
        <v>1428</v>
      </c>
      <c r="M54" s="5">
        <f>Table34101112131814[[#This Row],[  55-59]]-Table341011121318[[#This Row],[  55-59]]</f>
        <v>1501</v>
      </c>
      <c r="N54" s="5">
        <f>Table34101112131814[[#This Row],[  60-64]]-Table341011121318[[#This Row],[  60-64]]</f>
        <v>1624</v>
      </c>
      <c r="O54" s="5">
        <f>Table34101112131814[[#This Row],[  65-69]]-Table341011121318[[#This Row],[  65-69]]</f>
        <v>1479</v>
      </c>
      <c r="P54" s="5">
        <f>Table34101112131814[[#This Row],[  70-74]]-Table341011121318[[#This Row],[  70-74]]</f>
        <v>1449</v>
      </c>
      <c r="Q54" s="5">
        <f>Table34101112131814[[#This Row],[  75-79]]-Table341011121318[[#This Row],[  75-79]]</f>
        <v>1022</v>
      </c>
      <c r="R54" s="5">
        <f>Table34101112131814[[#This Row],[  80-84]]-Table341011121318[[#This Row],[  80-84]]</f>
        <v>606</v>
      </c>
      <c r="S54" s="5">
        <f>Table34101112131814[[#This Row],[  85-89]]-Table341011121318[[#This Row],[  85-89]]</f>
        <v>304</v>
      </c>
      <c r="T54" s="5">
        <f>Table34101112131814[[#This Row],[  90+]]-Table341011121318[[#This Row],[  90+]]</f>
        <v>129</v>
      </c>
    </row>
    <row r="55" spans="1:20" x14ac:dyDescent="0.2">
      <c r="A55" s="9" t="s">
        <v>18</v>
      </c>
      <c r="B55" s="6" t="s">
        <v>23</v>
      </c>
      <c r="C55" s="5">
        <f>Table34101112131814[[#This Row],[Total]]-Table341011121318[[#This Row],[Total]]</f>
        <v>19970</v>
      </c>
      <c r="D55" s="5">
        <f>Table34101112131814[[#This Row],[  5-11]]-Table341011121318[[#This Row],[  5-11]]</f>
        <v>1406</v>
      </c>
      <c r="E55" s="5">
        <f>Table34101112131814[[#This Row],[  12-17]]-Table341011121318[[#This Row],[  12-17]]</f>
        <v>1325</v>
      </c>
      <c r="F55" s="5">
        <f>Table34101112131814[[#This Row],[  18-24]]-Table341011121318[[#This Row],[  18-24]]</f>
        <v>1153</v>
      </c>
      <c r="G55" s="5">
        <f>Table34101112131814[[#This Row],[  25-29 ]]-Table341011121318[[#This Row],[  25-29 ]]</f>
        <v>1004</v>
      </c>
      <c r="H55" s="5">
        <f>Table34101112131814[[#This Row],[  30-34]]-Table341011121318[[#This Row],[  30-34]]</f>
        <v>1145</v>
      </c>
      <c r="I55" s="5">
        <f>Table34101112131814[[#This Row],[  35-39]]-Table341011121318[[#This Row],[  35-39]]</f>
        <v>1071</v>
      </c>
      <c r="J55" s="5">
        <f>Table34101112131814[[#This Row],[  40-44]]-Table341011121318[[#This Row],[  40-44]]</f>
        <v>1200</v>
      </c>
      <c r="K55" s="5">
        <f>Table34101112131814[[#This Row],[  45-49 ]]-Table341011121318[[#This Row],[  45-49 ]]</f>
        <v>1335</v>
      </c>
      <c r="L55" s="5">
        <f>Table34101112131814[[#This Row],[  50-54]]-Table341011121318[[#This Row],[  50-54]]</f>
        <v>1569</v>
      </c>
      <c r="M55" s="5">
        <f>Table34101112131814[[#This Row],[  55-59]]-Table341011121318[[#This Row],[  55-59]]</f>
        <v>1583</v>
      </c>
      <c r="N55" s="5">
        <f>Table34101112131814[[#This Row],[  60-64]]-Table341011121318[[#This Row],[  60-64]]</f>
        <v>1699</v>
      </c>
      <c r="O55" s="5">
        <f>Table34101112131814[[#This Row],[  65-69]]-Table341011121318[[#This Row],[  65-69]]</f>
        <v>1591</v>
      </c>
      <c r="P55" s="5">
        <f>Table34101112131814[[#This Row],[  70-74]]-Table341011121318[[#This Row],[  70-74]]</f>
        <v>1450</v>
      </c>
      <c r="Q55" s="5">
        <f>Table34101112131814[[#This Row],[  75-79]]-Table341011121318[[#This Row],[  75-79]]</f>
        <v>1016</v>
      </c>
      <c r="R55" s="5">
        <f>Table34101112131814[[#This Row],[  80-84]]-Table341011121318[[#This Row],[  80-84]]</f>
        <v>746</v>
      </c>
      <c r="S55" s="5">
        <f>Table34101112131814[[#This Row],[  85-89]]-Table341011121318[[#This Row],[  85-89]]</f>
        <v>389</v>
      </c>
      <c r="T55" s="5">
        <f>Table34101112131814[[#This Row],[  90+]]-Table341011121318[[#This Row],[  90+]]</f>
        <v>288</v>
      </c>
    </row>
    <row r="56" spans="1:20" x14ac:dyDescent="0.2">
      <c r="A56" s="9" t="s">
        <v>19</v>
      </c>
      <c r="B56" s="6" t="s">
        <v>22</v>
      </c>
      <c r="C56" s="5">
        <f>Table34101112131814[[#This Row],[Total]]-Table341011121318[[#This Row],[Total]]</f>
        <v>564529</v>
      </c>
      <c r="D56" s="5">
        <f>Table34101112131814[[#This Row],[  5-11]]-Table341011121318[[#This Row],[  5-11]]</f>
        <v>52969</v>
      </c>
      <c r="E56" s="5">
        <f>Table34101112131814[[#This Row],[  12-17]]-Table341011121318[[#This Row],[  12-17]]</f>
        <v>42739</v>
      </c>
      <c r="F56" s="5">
        <f>Table34101112131814[[#This Row],[  18-24]]-Table341011121318[[#This Row],[  18-24]]</f>
        <v>46909</v>
      </c>
      <c r="G56" s="5">
        <f>Table34101112131814[[#This Row],[  25-29 ]]-Table341011121318[[#This Row],[  25-29 ]]</f>
        <v>40175</v>
      </c>
      <c r="H56" s="5">
        <f>Table34101112131814[[#This Row],[  30-34]]-Table341011121318[[#This Row],[  30-34]]</f>
        <v>47776</v>
      </c>
      <c r="I56" s="5">
        <f>Table34101112131814[[#This Row],[  35-39]]-Table341011121318[[#This Row],[  35-39]]</f>
        <v>48111</v>
      </c>
      <c r="J56" s="5">
        <f>Table34101112131814[[#This Row],[  40-44]]-Table341011121318[[#This Row],[  40-44]]</f>
        <v>43011</v>
      </c>
      <c r="K56" s="5">
        <f>Table34101112131814[[#This Row],[  45-49 ]]-Table341011121318[[#This Row],[  45-49 ]]</f>
        <v>40170</v>
      </c>
      <c r="L56" s="5">
        <f>Table34101112131814[[#This Row],[  50-54]]-Table341011121318[[#This Row],[  50-54]]</f>
        <v>40480</v>
      </c>
      <c r="M56" s="5">
        <f>Table34101112131814[[#This Row],[  55-59]]-Table341011121318[[#This Row],[  55-59]]</f>
        <v>37204</v>
      </c>
      <c r="N56" s="5">
        <f>Table34101112131814[[#This Row],[  60-64]]-Table341011121318[[#This Row],[  60-64]]</f>
        <v>33389</v>
      </c>
      <c r="O56" s="5">
        <f>Table34101112131814[[#This Row],[  65-69]]-Table341011121318[[#This Row],[  65-69]]</f>
        <v>28321</v>
      </c>
      <c r="P56" s="5">
        <f>Table34101112131814[[#This Row],[  70-74]]-Table341011121318[[#This Row],[  70-74]]</f>
        <v>23463</v>
      </c>
      <c r="Q56" s="5">
        <f>Table34101112131814[[#This Row],[  75-79]]-Table341011121318[[#This Row],[  75-79]]</f>
        <v>17421</v>
      </c>
      <c r="R56" s="5">
        <f>Table34101112131814[[#This Row],[  80-84]]-Table341011121318[[#This Row],[  80-84]]</f>
        <v>11933</v>
      </c>
      <c r="S56" s="5">
        <f>Table34101112131814[[#This Row],[  85-89]]-Table341011121318[[#This Row],[  85-89]]</f>
        <v>6526</v>
      </c>
      <c r="T56" s="5">
        <f>Table34101112131814[[#This Row],[  90+]]-Table341011121318[[#This Row],[  90+]]</f>
        <v>3932</v>
      </c>
    </row>
    <row r="57" spans="1:20" x14ac:dyDescent="0.2">
      <c r="A57" s="10" t="s">
        <v>19</v>
      </c>
      <c r="B57" s="6" t="s">
        <v>0</v>
      </c>
      <c r="C57" s="5">
        <f>Table34101112131814[[#This Row],[Total]]-Table341011121318[[#This Row],[Total]]</f>
        <v>278173</v>
      </c>
      <c r="D57" s="5">
        <f>Table34101112131814[[#This Row],[  5-11]]-Table341011121318[[#This Row],[  5-11]]</f>
        <v>27238</v>
      </c>
      <c r="E57" s="5">
        <f>Table34101112131814[[#This Row],[  12-17]]-Table341011121318[[#This Row],[  12-17]]</f>
        <v>22029</v>
      </c>
      <c r="F57" s="5">
        <f>Table34101112131814[[#This Row],[  18-24]]-Table341011121318[[#This Row],[  18-24]]</f>
        <v>24151</v>
      </c>
      <c r="G57" s="5">
        <f>Table34101112131814[[#This Row],[  25-29 ]]-Table341011121318[[#This Row],[  25-29 ]]</f>
        <v>19990</v>
      </c>
      <c r="H57" s="5">
        <f>Table34101112131814[[#This Row],[  30-34]]-Table341011121318[[#This Row],[  30-34]]</f>
        <v>23201</v>
      </c>
      <c r="I57" s="5">
        <f>Table34101112131814[[#This Row],[  35-39]]-Table341011121318[[#This Row],[  35-39]]</f>
        <v>23413</v>
      </c>
      <c r="J57" s="5">
        <f>Table34101112131814[[#This Row],[  40-44]]-Table341011121318[[#This Row],[  40-44]]</f>
        <v>21159</v>
      </c>
      <c r="K57" s="5">
        <f>Table34101112131814[[#This Row],[  45-49 ]]-Table341011121318[[#This Row],[  45-49 ]]</f>
        <v>19853</v>
      </c>
      <c r="L57" s="5">
        <f>Table34101112131814[[#This Row],[  50-54]]-Table341011121318[[#This Row],[  50-54]]</f>
        <v>20008</v>
      </c>
      <c r="M57" s="5">
        <f>Table34101112131814[[#This Row],[  55-59]]-Table341011121318[[#This Row],[  55-59]]</f>
        <v>18415</v>
      </c>
      <c r="N57" s="5">
        <f>Table34101112131814[[#This Row],[  60-64]]-Table341011121318[[#This Row],[  60-64]]</f>
        <v>16176</v>
      </c>
      <c r="O57" s="5">
        <f>Table34101112131814[[#This Row],[  65-69]]-Table341011121318[[#This Row],[  65-69]]</f>
        <v>13497</v>
      </c>
      <c r="P57" s="5">
        <f>Table34101112131814[[#This Row],[  70-74]]-Table341011121318[[#This Row],[  70-74]]</f>
        <v>11363</v>
      </c>
      <c r="Q57" s="5">
        <f>Table34101112131814[[#This Row],[  75-79]]-Table341011121318[[#This Row],[  75-79]]</f>
        <v>8235</v>
      </c>
      <c r="R57" s="5">
        <f>Table34101112131814[[#This Row],[  80-84]]-Table341011121318[[#This Row],[  80-84]]</f>
        <v>5335</v>
      </c>
      <c r="S57" s="5">
        <f>Table34101112131814[[#This Row],[  85-89]]-Table341011121318[[#This Row],[  85-89]]</f>
        <v>2776</v>
      </c>
      <c r="T57" s="5">
        <f>Table34101112131814[[#This Row],[  90+]]-Table341011121318[[#This Row],[  90+]]</f>
        <v>1334</v>
      </c>
    </row>
    <row r="58" spans="1:20" x14ac:dyDescent="0.2">
      <c r="A58" s="10" t="s">
        <v>19</v>
      </c>
      <c r="B58" s="6" t="s">
        <v>23</v>
      </c>
      <c r="C58" s="5">
        <f>Table34101112131814[[#This Row],[Total]]-Table341011121318[[#This Row],[Total]]</f>
        <v>286356</v>
      </c>
      <c r="D58" s="5">
        <f>Table34101112131814[[#This Row],[  5-11]]-Table341011121318[[#This Row],[  5-11]]</f>
        <v>25731</v>
      </c>
      <c r="E58" s="5">
        <f>Table34101112131814[[#This Row],[  12-17]]-Table341011121318[[#This Row],[  12-17]]</f>
        <v>20710</v>
      </c>
      <c r="F58" s="5">
        <f>Table34101112131814[[#This Row],[  18-24]]-Table341011121318[[#This Row],[  18-24]]</f>
        <v>22758</v>
      </c>
      <c r="G58" s="5">
        <f>Table34101112131814[[#This Row],[  25-29 ]]-Table341011121318[[#This Row],[  25-29 ]]</f>
        <v>20185</v>
      </c>
      <c r="H58" s="5">
        <f>Table34101112131814[[#This Row],[  30-34]]-Table341011121318[[#This Row],[  30-34]]</f>
        <v>24575</v>
      </c>
      <c r="I58" s="5">
        <f>Table34101112131814[[#This Row],[  35-39]]-Table341011121318[[#This Row],[  35-39]]</f>
        <v>24698</v>
      </c>
      <c r="J58" s="5">
        <f>Table34101112131814[[#This Row],[  40-44]]-Table341011121318[[#This Row],[  40-44]]</f>
        <v>21852</v>
      </c>
      <c r="K58" s="5">
        <f>Table34101112131814[[#This Row],[  45-49 ]]-Table341011121318[[#This Row],[  45-49 ]]</f>
        <v>20317</v>
      </c>
      <c r="L58" s="5">
        <f>Table34101112131814[[#This Row],[  50-54]]-Table341011121318[[#This Row],[  50-54]]</f>
        <v>20472</v>
      </c>
      <c r="M58" s="5">
        <f>Table34101112131814[[#This Row],[  55-59]]-Table341011121318[[#This Row],[  55-59]]</f>
        <v>18789</v>
      </c>
      <c r="N58" s="5">
        <f>Table34101112131814[[#This Row],[  60-64]]-Table341011121318[[#This Row],[  60-64]]</f>
        <v>17213</v>
      </c>
      <c r="O58" s="5">
        <f>Table34101112131814[[#This Row],[  65-69]]-Table341011121318[[#This Row],[  65-69]]</f>
        <v>14824</v>
      </c>
      <c r="P58" s="5">
        <f>Table34101112131814[[#This Row],[  70-74]]-Table341011121318[[#This Row],[  70-74]]</f>
        <v>12100</v>
      </c>
      <c r="Q58" s="5">
        <f>Table34101112131814[[#This Row],[  75-79]]-Table341011121318[[#This Row],[  75-79]]</f>
        <v>9186</v>
      </c>
      <c r="R58" s="5">
        <f>Table34101112131814[[#This Row],[  80-84]]-Table341011121318[[#This Row],[  80-84]]</f>
        <v>6598</v>
      </c>
      <c r="S58" s="5">
        <f>Table34101112131814[[#This Row],[  85-89]]-Table341011121318[[#This Row],[  85-89]]</f>
        <v>3750</v>
      </c>
      <c r="T58" s="5">
        <f>Table34101112131814[[#This Row],[  90+]]-Table341011121318[[#This Row],[  90+]]</f>
        <v>2598</v>
      </c>
    </row>
    <row r="59" spans="1:20" x14ac:dyDescent="0.2">
      <c r="A59" s="9" t="s">
        <v>20</v>
      </c>
      <c r="B59" s="6" t="s">
        <v>22</v>
      </c>
      <c r="C59" s="5">
        <f>Table34101112131814[[#This Row],[Total]]-Table341011121318[[#This Row],[Total]]</f>
        <v>27845</v>
      </c>
      <c r="D59" s="5">
        <f>Table34101112131814[[#This Row],[  5-11]]-Table341011121318[[#This Row],[  5-11]]</f>
        <v>2031</v>
      </c>
      <c r="E59" s="5">
        <f>Table34101112131814[[#This Row],[  12-17]]-Table341011121318[[#This Row],[  12-17]]</f>
        <v>1938</v>
      </c>
      <c r="F59" s="5">
        <f>Table34101112131814[[#This Row],[  18-24]]-Table341011121318[[#This Row],[  18-24]]</f>
        <v>1546</v>
      </c>
      <c r="G59" s="5">
        <f>Table34101112131814[[#This Row],[  25-29 ]]-Table341011121318[[#This Row],[  25-29 ]]</f>
        <v>1441</v>
      </c>
      <c r="H59" s="5">
        <f>Table34101112131814[[#This Row],[  30-34]]-Table341011121318[[#This Row],[  30-34]]</f>
        <v>1702</v>
      </c>
      <c r="I59" s="5">
        <f>Table34101112131814[[#This Row],[  35-39]]-Table341011121318[[#This Row],[  35-39]]</f>
        <v>1591</v>
      </c>
      <c r="J59" s="5">
        <f>Table34101112131814[[#This Row],[  40-44]]-Table341011121318[[#This Row],[  40-44]]</f>
        <v>1571</v>
      </c>
      <c r="K59" s="5">
        <f>Table34101112131814[[#This Row],[  45-49 ]]-Table341011121318[[#This Row],[  45-49 ]]</f>
        <v>1839</v>
      </c>
      <c r="L59" s="5">
        <f>Table34101112131814[[#This Row],[  50-54]]-Table341011121318[[#This Row],[  50-54]]</f>
        <v>2217</v>
      </c>
      <c r="M59" s="5">
        <f>Table34101112131814[[#This Row],[  55-59]]-Table341011121318[[#This Row],[  55-59]]</f>
        <v>2544</v>
      </c>
      <c r="N59" s="5">
        <f>Table34101112131814[[#This Row],[  60-64]]-Table341011121318[[#This Row],[  60-64]]</f>
        <v>2630</v>
      </c>
      <c r="O59" s="5">
        <f>Table34101112131814[[#This Row],[  65-69]]-Table341011121318[[#This Row],[  65-69]]</f>
        <v>2333</v>
      </c>
      <c r="P59" s="5">
        <f>Table34101112131814[[#This Row],[  70-74]]-Table341011121318[[#This Row],[  70-74]]</f>
        <v>1855</v>
      </c>
      <c r="Q59" s="5">
        <f>Table34101112131814[[#This Row],[  75-79]]-Table341011121318[[#This Row],[  75-79]]</f>
        <v>1254</v>
      </c>
      <c r="R59" s="5">
        <f>Table34101112131814[[#This Row],[  80-84]]-Table341011121318[[#This Row],[  80-84]]</f>
        <v>776</v>
      </c>
      <c r="S59" s="5">
        <f>Table34101112131814[[#This Row],[  85-89]]-Table341011121318[[#This Row],[  85-89]]</f>
        <v>366</v>
      </c>
      <c r="T59" s="5">
        <f>Table34101112131814[[#This Row],[  90+]]-Table341011121318[[#This Row],[  90+]]</f>
        <v>211</v>
      </c>
    </row>
    <row r="60" spans="1:20" x14ac:dyDescent="0.2">
      <c r="A60" s="9" t="s">
        <v>20</v>
      </c>
      <c r="B60" s="6" t="s">
        <v>0</v>
      </c>
      <c r="C60" s="5">
        <f>Table34101112131814[[#This Row],[Total]]-Table341011121318[[#This Row],[Total]]</f>
        <v>14342</v>
      </c>
      <c r="D60" s="5">
        <f>Table34101112131814[[#This Row],[  5-11]]-Table341011121318[[#This Row],[  5-11]]</f>
        <v>1044</v>
      </c>
      <c r="E60" s="5">
        <f>Table34101112131814[[#This Row],[  12-17]]-Table341011121318[[#This Row],[  12-17]]</f>
        <v>1029</v>
      </c>
      <c r="F60" s="5">
        <f>Table34101112131814[[#This Row],[  18-24]]-Table341011121318[[#This Row],[  18-24]]</f>
        <v>841</v>
      </c>
      <c r="G60" s="5">
        <f>Table34101112131814[[#This Row],[  25-29 ]]-Table341011121318[[#This Row],[  25-29 ]]</f>
        <v>728</v>
      </c>
      <c r="H60" s="5">
        <f>Table34101112131814[[#This Row],[  30-34]]-Table341011121318[[#This Row],[  30-34]]</f>
        <v>830</v>
      </c>
      <c r="I60" s="5">
        <f>Table34101112131814[[#This Row],[  35-39]]-Table341011121318[[#This Row],[  35-39]]</f>
        <v>822</v>
      </c>
      <c r="J60" s="5">
        <f>Table34101112131814[[#This Row],[  40-44]]-Table341011121318[[#This Row],[  40-44]]</f>
        <v>773</v>
      </c>
      <c r="K60" s="5">
        <f>Table34101112131814[[#This Row],[  45-49 ]]-Table341011121318[[#This Row],[  45-49 ]]</f>
        <v>889</v>
      </c>
      <c r="L60" s="5">
        <f>Table34101112131814[[#This Row],[  50-54]]-Table341011121318[[#This Row],[  50-54]]</f>
        <v>1101</v>
      </c>
      <c r="M60" s="5">
        <f>Table34101112131814[[#This Row],[  55-59]]-Table341011121318[[#This Row],[  55-59]]</f>
        <v>1308</v>
      </c>
      <c r="N60" s="5">
        <f>Table34101112131814[[#This Row],[  60-64]]-Table341011121318[[#This Row],[  60-64]]</f>
        <v>1386</v>
      </c>
      <c r="O60" s="5">
        <f>Table34101112131814[[#This Row],[  65-69]]-Table341011121318[[#This Row],[  65-69]]</f>
        <v>1297</v>
      </c>
      <c r="P60" s="5">
        <f>Table34101112131814[[#This Row],[  70-74]]-Table341011121318[[#This Row],[  70-74]]</f>
        <v>1028</v>
      </c>
      <c r="Q60" s="5">
        <f>Table34101112131814[[#This Row],[  75-79]]-Table341011121318[[#This Row],[  75-79]]</f>
        <v>632</v>
      </c>
      <c r="R60" s="5">
        <f>Table34101112131814[[#This Row],[  80-84]]-Table341011121318[[#This Row],[  80-84]]</f>
        <v>380</v>
      </c>
      <c r="S60" s="5">
        <f>Table34101112131814[[#This Row],[  85-89]]-Table341011121318[[#This Row],[  85-89]]</f>
        <v>171</v>
      </c>
      <c r="T60" s="5">
        <f>Table34101112131814[[#This Row],[  90+]]-Table341011121318[[#This Row],[  90+]]</f>
        <v>83</v>
      </c>
    </row>
    <row r="61" spans="1:20" x14ac:dyDescent="0.2">
      <c r="A61" s="9" t="s">
        <v>20</v>
      </c>
      <c r="B61" s="6" t="s">
        <v>23</v>
      </c>
      <c r="C61" s="5">
        <f>Table34101112131814[[#This Row],[Total]]-Table341011121318[[#This Row],[Total]]</f>
        <v>13503</v>
      </c>
      <c r="D61" s="5">
        <f>Table34101112131814[[#This Row],[  5-11]]-Table341011121318[[#This Row],[  5-11]]</f>
        <v>987</v>
      </c>
      <c r="E61" s="5">
        <f>Table34101112131814[[#This Row],[  12-17]]-Table341011121318[[#This Row],[  12-17]]</f>
        <v>909</v>
      </c>
      <c r="F61" s="5">
        <f>Table34101112131814[[#This Row],[  18-24]]-Table341011121318[[#This Row],[  18-24]]</f>
        <v>705</v>
      </c>
      <c r="G61" s="5">
        <f>Table34101112131814[[#This Row],[  25-29 ]]-Table341011121318[[#This Row],[  25-29 ]]</f>
        <v>713</v>
      </c>
      <c r="H61" s="5">
        <f>Table34101112131814[[#This Row],[  30-34]]-Table341011121318[[#This Row],[  30-34]]</f>
        <v>872</v>
      </c>
      <c r="I61" s="5">
        <f>Table34101112131814[[#This Row],[  35-39]]-Table341011121318[[#This Row],[  35-39]]</f>
        <v>769</v>
      </c>
      <c r="J61" s="5">
        <f>Table34101112131814[[#This Row],[  40-44]]-Table341011121318[[#This Row],[  40-44]]</f>
        <v>798</v>
      </c>
      <c r="K61" s="5">
        <f>Table34101112131814[[#This Row],[  45-49 ]]-Table341011121318[[#This Row],[  45-49 ]]</f>
        <v>950</v>
      </c>
      <c r="L61" s="5">
        <f>Table34101112131814[[#This Row],[  50-54]]-Table341011121318[[#This Row],[  50-54]]</f>
        <v>1116</v>
      </c>
      <c r="M61" s="5">
        <f>Table34101112131814[[#This Row],[  55-59]]-Table341011121318[[#This Row],[  55-59]]</f>
        <v>1236</v>
      </c>
      <c r="N61" s="5">
        <f>Table34101112131814[[#This Row],[  60-64]]-Table341011121318[[#This Row],[  60-64]]</f>
        <v>1244</v>
      </c>
      <c r="O61" s="5">
        <f>Table34101112131814[[#This Row],[  65-69]]-Table341011121318[[#This Row],[  65-69]]</f>
        <v>1036</v>
      </c>
      <c r="P61" s="5">
        <f>Table34101112131814[[#This Row],[  70-74]]-Table341011121318[[#This Row],[  70-74]]</f>
        <v>827</v>
      </c>
      <c r="Q61" s="5">
        <f>Table34101112131814[[#This Row],[  75-79]]-Table341011121318[[#This Row],[  75-79]]</f>
        <v>622</v>
      </c>
      <c r="R61" s="5">
        <f>Table34101112131814[[#This Row],[  80-84]]-Table341011121318[[#This Row],[  80-84]]</f>
        <v>396</v>
      </c>
      <c r="S61" s="5">
        <f>Table34101112131814[[#This Row],[  85-89]]-Table341011121318[[#This Row],[  85-89]]</f>
        <v>195</v>
      </c>
      <c r="T61" s="5">
        <f>Table34101112131814[[#This Row],[  90+]]-Table341011121318[[#This Row],[  90+]]</f>
        <v>128</v>
      </c>
    </row>
    <row r="62" spans="1:20" x14ac:dyDescent="0.2">
      <c r="A62" s="13" t="s">
        <v>21</v>
      </c>
      <c r="B62" s="6" t="s">
        <v>22</v>
      </c>
      <c r="C62" s="5">
        <f>Table34101112131814[[#This Row],[Total]]-Table341011121318[[#This Row],[Total]]</f>
        <v>48667</v>
      </c>
      <c r="D62" s="5">
        <f>Table34101112131814[[#This Row],[  5-11]]-Table341011121318[[#This Row],[  5-11]]</f>
        <v>3766</v>
      </c>
      <c r="E62" s="5">
        <f>Table34101112131814[[#This Row],[  12-17]]-Table341011121318[[#This Row],[  12-17]]</f>
        <v>3407</v>
      </c>
      <c r="F62" s="5">
        <f>Table34101112131814[[#This Row],[  18-24]]-Table341011121318[[#This Row],[  18-24]]</f>
        <v>3489</v>
      </c>
      <c r="G62" s="5">
        <f>Table34101112131814[[#This Row],[  25-29 ]]-Table341011121318[[#This Row],[  25-29 ]]</f>
        <v>2868</v>
      </c>
      <c r="H62" s="5">
        <f>Table34101112131814[[#This Row],[  30-34]]-Table341011121318[[#This Row],[  30-34]]</f>
        <v>3093</v>
      </c>
      <c r="I62" s="5">
        <f>Table34101112131814[[#This Row],[  35-39]]-Table341011121318[[#This Row],[  35-39]]</f>
        <v>2800</v>
      </c>
      <c r="J62" s="5">
        <f>Table34101112131814[[#This Row],[  40-44]]-Table341011121318[[#This Row],[  40-44]]</f>
        <v>2584</v>
      </c>
      <c r="K62" s="5">
        <f>Table34101112131814[[#This Row],[  45-49 ]]-Table341011121318[[#This Row],[  45-49 ]]</f>
        <v>2974</v>
      </c>
      <c r="L62" s="5">
        <f>Table34101112131814[[#This Row],[  50-54]]-Table341011121318[[#This Row],[  50-54]]</f>
        <v>3413</v>
      </c>
      <c r="M62" s="5">
        <f>Table34101112131814[[#This Row],[  55-59]]-Table341011121318[[#This Row],[  55-59]]</f>
        <v>3785</v>
      </c>
      <c r="N62" s="5">
        <f>Table34101112131814[[#This Row],[  60-64]]-Table341011121318[[#This Row],[  60-64]]</f>
        <v>3975</v>
      </c>
      <c r="O62" s="5">
        <f>Table34101112131814[[#This Row],[  65-69]]-Table341011121318[[#This Row],[  65-69]]</f>
        <v>3663</v>
      </c>
      <c r="P62" s="5">
        <f>Table34101112131814[[#This Row],[  70-74]]-Table341011121318[[#This Row],[  70-74]]</f>
        <v>3318</v>
      </c>
      <c r="Q62" s="5">
        <f>Table34101112131814[[#This Row],[  75-79]]-Table341011121318[[#This Row],[  75-79]]</f>
        <v>2388</v>
      </c>
      <c r="R62" s="5">
        <f>Table34101112131814[[#This Row],[  80-84]]-Table341011121318[[#This Row],[  80-84]]</f>
        <v>1716</v>
      </c>
      <c r="S62" s="5">
        <f>Table34101112131814[[#This Row],[  85-89]]-Table341011121318[[#This Row],[  85-89]]</f>
        <v>903</v>
      </c>
      <c r="T62" s="5">
        <f>Table34101112131814[[#This Row],[  90+]]-Table341011121318[[#This Row],[  90+]]</f>
        <v>525</v>
      </c>
    </row>
    <row r="63" spans="1:20" x14ac:dyDescent="0.2">
      <c r="A63" s="10" t="s">
        <v>21</v>
      </c>
      <c r="B63" s="6" t="s">
        <v>0</v>
      </c>
      <c r="C63" s="5">
        <f>Table34101112131814[[#This Row],[Total]]-Table341011121318[[#This Row],[Total]]</f>
        <v>24114</v>
      </c>
      <c r="D63" s="5">
        <f>Table34101112131814[[#This Row],[  5-11]]-Table341011121318[[#This Row],[  5-11]]</f>
        <v>1926</v>
      </c>
      <c r="E63" s="5">
        <f>Table34101112131814[[#This Row],[  12-17]]-Table341011121318[[#This Row],[  12-17]]</f>
        <v>1729</v>
      </c>
      <c r="F63" s="5">
        <f>Table34101112131814[[#This Row],[  18-24]]-Table341011121318[[#This Row],[  18-24]]</f>
        <v>1871</v>
      </c>
      <c r="G63" s="5">
        <f>Table34101112131814[[#This Row],[  25-29 ]]-Table341011121318[[#This Row],[  25-29 ]]</f>
        <v>1498</v>
      </c>
      <c r="H63" s="5">
        <f>Table34101112131814[[#This Row],[  30-34]]-Table341011121318[[#This Row],[  30-34]]</f>
        <v>1549</v>
      </c>
      <c r="I63" s="5">
        <f>Table34101112131814[[#This Row],[  35-39]]-Table341011121318[[#This Row],[  35-39]]</f>
        <v>1398</v>
      </c>
      <c r="J63" s="5">
        <f>Table34101112131814[[#This Row],[  40-44]]-Table341011121318[[#This Row],[  40-44]]</f>
        <v>1284</v>
      </c>
      <c r="K63" s="5">
        <f>Table34101112131814[[#This Row],[  45-49 ]]-Table341011121318[[#This Row],[  45-49 ]]</f>
        <v>1452</v>
      </c>
      <c r="L63" s="5">
        <f>Table34101112131814[[#This Row],[  50-54]]-Table341011121318[[#This Row],[  50-54]]</f>
        <v>1666</v>
      </c>
      <c r="M63" s="5">
        <f>Table34101112131814[[#This Row],[  55-59]]-Table341011121318[[#This Row],[  55-59]]</f>
        <v>1849</v>
      </c>
      <c r="N63" s="5">
        <f>Table34101112131814[[#This Row],[  60-64]]-Table341011121318[[#This Row],[  60-64]]</f>
        <v>1954</v>
      </c>
      <c r="O63" s="5">
        <f>Table34101112131814[[#This Row],[  65-69]]-Table341011121318[[#This Row],[  65-69]]</f>
        <v>1823</v>
      </c>
      <c r="P63" s="5">
        <f>Table34101112131814[[#This Row],[  70-74]]-Table341011121318[[#This Row],[  70-74]]</f>
        <v>1653</v>
      </c>
      <c r="Q63" s="5">
        <f>Table34101112131814[[#This Row],[  75-79]]-Table341011121318[[#This Row],[  75-79]]</f>
        <v>1159</v>
      </c>
      <c r="R63" s="5">
        <f>Table34101112131814[[#This Row],[  80-84]]-Table341011121318[[#This Row],[  80-84]]</f>
        <v>747</v>
      </c>
      <c r="S63" s="5">
        <f>Table34101112131814[[#This Row],[  85-89]]-Table341011121318[[#This Row],[  85-89]]</f>
        <v>371</v>
      </c>
      <c r="T63" s="5">
        <f>Table34101112131814[[#This Row],[  90+]]-Table341011121318[[#This Row],[  90+]]</f>
        <v>185</v>
      </c>
    </row>
    <row r="64" spans="1:20" x14ac:dyDescent="0.2">
      <c r="A64" s="10" t="s">
        <v>21</v>
      </c>
      <c r="B64" s="6" t="s">
        <v>23</v>
      </c>
      <c r="C64" s="5">
        <f>Table34101112131814[[#This Row],[Total]]-Table341011121318[[#This Row],[Total]]</f>
        <v>24553</v>
      </c>
      <c r="D64" s="5">
        <f>Table34101112131814[[#This Row],[  5-11]]-Table341011121318[[#This Row],[  5-11]]</f>
        <v>1840</v>
      </c>
      <c r="E64" s="5">
        <f>Table34101112131814[[#This Row],[  12-17]]-Table341011121318[[#This Row],[  12-17]]</f>
        <v>1678</v>
      </c>
      <c r="F64" s="5">
        <f>Table34101112131814[[#This Row],[  18-24]]-Table341011121318[[#This Row],[  18-24]]</f>
        <v>1618</v>
      </c>
      <c r="G64" s="5">
        <f>Table34101112131814[[#This Row],[  25-29 ]]-Table341011121318[[#This Row],[  25-29 ]]</f>
        <v>1370</v>
      </c>
      <c r="H64" s="5">
        <f>Table34101112131814[[#This Row],[  30-34]]-Table341011121318[[#This Row],[  30-34]]</f>
        <v>1544</v>
      </c>
      <c r="I64" s="5">
        <f>Table34101112131814[[#This Row],[  35-39]]-Table341011121318[[#This Row],[  35-39]]</f>
        <v>1402</v>
      </c>
      <c r="J64" s="5">
        <f>Table34101112131814[[#This Row],[  40-44]]-Table341011121318[[#This Row],[  40-44]]</f>
        <v>1300</v>
      </c>
      <c r="K64" s="5">
        <f>Table34101112131814[[#This Row],[  45-49 ]]-Table341011121318[[#This Row],[  45-49 ]]</f>
        <v>1522</v>
      </c>
      <c r="L64" s="5">
        <f>Table34101112131814[[#This Row],[  50-54]]-Table341011121318[[#This Row],[  50-54]]</f>
        <v>1747</v>
      </c>
      <c r="M64" s="5">
        <f>Table34101112131814[[#This Row],[  55-59]]-Table341011121318[[#This Row],[  55-59]]</f>
        <v>1936</v>
      </c>
      <c r="N64" s="5">
        <f>Table34101112131814[[#This Row],[  60-64]]-Table341011121318[[#This Row],[  60-64]]</f>
        <v>2021</v>
      </c>
      <c r="O64" s="5">
        <f>Table34101112131814[[#This Row],[  65-69]]-Table341011121318[[#This Row],[  65-69]]</f>
        <v>1840</v>
      </c>
      <c r="P64" s="5">
        <f>Table34101112131814[[#This Row],[  70-74]]-Table341011121318[[#This Row],[  70-74]]</f>
        <v>1665</v>
      </c>
      <c r="Q64" s="5">
        <f>Table34101112131814[[#This Row],[  75-79]]-Table341011121318[[#This Row],[  75-79]]</f>
        <v>1229</v>
      </c>
      <c r="R64" s="5">
        <f>Table34101112131814[[#This Row],[  80-84]]-Table341011121318[[#This Row],[  80-84]]</f>
        <v>969</v>
      </c>
      <c r="S64" s="5">
        <f>Table34101112131814[[#This Row],[  85-89]]-Table341011121318[[#This Row],[  85-89]]</f>
        <v>532</v>
      </c>
      <c r="T64" s="5">
        <f>Table34101112131814[[#This Row],[  90+]]-Table341011121318[[#This Row],[  90+]]</f>
        <v>340</v>
      </c>
    </row>
    <row r="65" spans="1:20" x14ac:dyDescent="0.2">
      <c r="A65" s="13" t="s">
        <v>22</v>
      </c>
      <c r="B65" s="6" t="s">
        <v>22</v>
      </c>
      <c r="C65" s="5">
        <f>Table34101112131814[[#This Row],[Total]]-Table341011121318[[#This Row],[Total]]</f>
        <v>4190562</v>
      </c>
      <c r="D65" s="5">
        <f>Table34101112131814[[#This Row],[  5-11]]-Table341011121318[[#This Row],[  5-11]]</f>
        <v>353365</v>
      </c>
      <c r="E65" s="5">
        <f>Table34101112131814[[#This Row],[  12-17]]-Table341011121318[[#This Row],[  12-17]]</f>
        <v>308397</v>
      </c>
      <c r="F65" s="5">
        <f>Table34101112131814[[#This Row],[  18-24]]-Table341011121318[[#This Row],[  18-24]]</f>
        <v>364652</v>
      </c>
      <c r="G65" s="5">
        <f>Table34101112131814[[#This Row],[  25-29 ]]-Table341011121318[[#This Row],[  25-29 ]]</f>
        <v>318047</v>
      </c>
      <c r="H65" s="5">
        <f>Table34101112131814[[#This Row],[  30-34]]-Table341011121318[[#This Row],[  30-34]]</f>
        <v>345124</v>
      </c>
      <c r="I65" s="5">
        <f>Table34101112131814[[#This Row],[  35-39]]-Table341011121318[[#This Row],[  35-39]]</f>
        <v>313095</v>
      </c>
      <c r="J65" s="5">
        <f>Table34101112131814[[#This Row],[  40-44]]-Table341011121318[[#This Row],[  40-44]]</f>
        <v>281805</v>
      </c>
      <c r="K65" s="5">
        <f>Table34101112131814[[#This Row],[  45-49 ]]-Table341011121318[[#This Row],[  45-49 ]]</f>
        <v>281915</v>
      </c>
      <c r="L65" s="5">
        <f>Table34101112131814[[#This Row],[  50-54]]-Table341011121318[[#This Row],[  50-54]]</f>
        <v>293518</v>
      </c>
      <c r="M65" s="5">
        <f>Table34101112131814[[#This Row],[  55-59]]-Table341011121318[[#This Row],[  55-59]]</f>
        <v>285282</v>
      </c>
      <c r="N65" s="5">
        <f>Table34101112131814[[#This Row],[  60-64]]-Table341011121318[[#This Row],[  60-64]]</f>
        <v>270388</v>
      </c>
      <c r="O65" s="5">
        <f>Table34101112131814[[#This Row],[  65-69]]-Table341011121318[[#This Row],[  65-69]]</f>
        <v>234726</v>
      </c>
      <c r="P65" s="5">
        <f>Table34101112131814[[#This Row],[  70-74]]-Table341011121318[[#This Row],[  70-74]]</f>
        <v>205115</v>
      </c>
      <c r="Q65" s="5">
        <f>Table34101112131814[[#This Row],[  75-79]]-Table341011121318[[#This Row],[  75-79]]</f>
        <v>146645</v>
      </c>
      <c r="R65" s="5">
        <f>Table34101112131814[[#This Row],[  80-84]]-Table341011121318[[#This Row],[  80-84]]</f>
        <v>101422</v>
      </c>
      <c r="S65" s="5">
        <f>Table34101112131814[[#This Row],[  85-89]]-Table341011121318[[#This Row],[  85-89]]</f>
        <v>54506</v>
      </c>
      <c r="T65" s="5">
        <f>Table34101112131814[[#This Row],[  90+]]-Table341011121318[[#This Row],[  90+]]</f>
        <v>32560</v>
      </c>
    </row>
    <row r="66" spans="1:20" x14ac:dyDescent="0.2">
      <c r="A66" s="10" t="s">
        <v>22</v>
      </c>
      <c r="B66" s="6" t="s">
        <v>0</v>
      </c>
      <c r="C66" s="5">
        <f>Table34101112131814[[#This Row],[Total]]-Table341011121318[[#This Row],[Total]]</f>
        <v>2085577</v>
      </c>
      <c r="D66" s="5">
        <f>Table34101112131814[[#This Row],[  5-11]]-Table341011121318[[#This Row],[  5-11]]</f>
        <v>181120</v>
      </c>
      <c r="E66" s="5">
        <f>Table34101112131814[[#This Row],[  12-17]]-Table341011121318[[#This Row],[  12-17]]</f>
        <v>158358</v>
      </c>
      <c r="F66" s="5">
        <f>Table34101112131814[[#This Row],[  18-24]]-Table341011121318[[#This Row],[  18-24]]</f>
        <v>187507</v>
      </c>
      <c r="G66" s="5">
        <f>Table34101112131814[[#This Row],[  25-29 ]]-Table341011121318[[#This Row],[  25-29 ]]</f>
        <v>163703</v>
      </c>
      <c r="H66" s="5">
        <f>Table34101112131814[[#This Row],[  30-34]]-Table341011121318[[#This Row],[  30-34]]</f>
        <v>172608</v>
      </c>
      <c r="I66" s="5">
        <f>Table34101112131814[[#This Row],[  35-39]]-Table341011121318[[#This Row],[  35-39]]</f>
        <v>156639</v>
      </c>
      <c r="J66" s="5">
        <f>Table34101112131814[[#This Row],[  40-44]]-Table341011121318[[#This Row],[  40-44]]</f>
        <v>140879</v>
      </c>
      <c r="K66" s="5">
        <f>Table34101112131814[[#This Row],[  45-49 ]]-Table341011121318[[#This Row],[  45-49 ]]</f>
        <v>139898</v>
      </c>
      <c r="L66" s="5">
        <f>Table34101112131814[[#This Row],[  50-54]]-Table341011121318[[#This Row],[  50-54]]</f>
        <v>144821</v>
      </c>
      <c r="M66" s="5">
        <f>Table34101112131814[[#This Row],[  55-59]]-Table341011121318[[#This Row],[  55-59]]</f>
        <v>140916</v>
      </c>
      <c r="N66" s="5">
        <f>Table34101112131814[[#This Row],[  60-64]]-Table341011121318[[#This Row],[  60-64]]</f>
        <v>133173</v>
      </c>
      <c r="O66" s="5">
        <f>Table34101112131814[[#This Row],[  65-69]]-Table341011121318[[#This Row],[  65-69]]</f>
        <v>115013</v>
      </c>
      <c r="P66" s="5">
        <f>Table34101112131814[[#This Row],[  70-74]]-Table341011121318[[#This Row],[  70-74]]</f>
        <v>100570</v>
      </c>
      <c r="Q66" s="5">
        <f>Table34101112131814[[#This Row],[  75-79]]-Table341011121318[[#This Row],[  75-79]]</f>
        <v>70132</v>
      </c>
      <c r="R66" s="5">
        <f>Table34101112131814[[#This Row],[  80-84]]-Table341011121318[[#This Row],[  80-84]]</f>
        <v>45987</v>
      </c>
      <c r="S66" s="5">
        <f>Table34101112131814[[#This Row],[  85-89]]-Table341011121318[[#This Row],[  85-89]]</f>
        <v>22911</v>
      </c>
      <c r="T66" s="5">
        <f>Table34101112131814[[#This Row],[  90+]]-Table341011121318[[#This Row],[  90+]]</f>
        <v>11342</v>
      </c>
    </row>
    <row r="67" spans="1:20" x14ac:dyDescent="0.2">
      <c r="A67" s="10" t="s">
        <v>22</v>
      </c>
      <c r="B67" s="6" t="s">
        <v>23</v>
      </c>
      <c r="C67" s="5">
        <f>Table34101112131814[[#This Row],[Total]]-Table341011121318[[#This Row],[Total]]</f>
        <v>2104985</v>
      </c>
      <c r="D67" s="5">
        <f>Table34101112131814[[#This Row],[  5-11]]-Table341011121318[[#This Row],[  5-11]]</f>
        <v>172245</v>
      </c>
      <c r="E67" s="5">
        <f>Table34101112131814[[#This Row],[  12-17]]-Table341011121318[[#This Row],[  12-17]]</f>
        <v>150039</v>
      </c>
      <c r="F67" s="5">
        <f>Table34101112131814[[#This Row],[  18-24]]-Table341011121318[[#This Row],[  18-24]]</f>
        <v>177145</v>
      </c>
      <c r="G67" s="5">
        <f>Table34101112131814[[#This Row],[  25-29 ]]-Table341011121318[[#This Row],[  25-29 ]]</f>
        <v>154344</v>
      </c>
      <c r="H67" s="5">
        <f>Table34101112131814[[#This Row],[  30-34]]-Table341011121318[[#This Row],[  30-34]]</f>
        <v>172516</v>
      </c>
      <c r="I67" s="5">
        <f>Table34101112131814[[#This Row],[  35-39]]-Table341011121318[[#This Row],[  35-39]]</f>
        <v>156456</v>
      </c>
      <c r="J67" s="5">
        <f>Table34101112131814[[#This Row],[  40-44]]-Table341011121318[[#This Row],[  40-44]]</f>
        <v>140926</v>
      </c>
      <c r="K67" s="5">
        <f>Table34101112131814[[#This Row],[  45-49 ]]-Table341011121318[[#This Row],[  45-49 ]]</f>
        <v>142017</v>
      </c>
      <c r="L67" s="5">
        <f>Table34101112131814[[#This Row],[  50-54]]-Table341011121318[[#This Row],[  50-54]]</f>
        <v>148697</v>
      </c>
      <c r="M67" s="5">
        <f>Table34101112131814[[#This Row],[  55-59]]-Table341011121318[[#This Row],[  55-59]]</f>
        <v>144366</v>
      </c>
      <c r="N67" s="5">
        <f>Table34101112131814[[#This Row],[  60-64]]-Table341011121318[[#This Row],[  60-64]]</f>
        <v>137215</v>
      </c>
      <c r="O67" s="5">
        <f>Table34101112131814[[#This Row],[  65-69]]-Table341011121318[[#This Row],[  65-69]]</f>
        <v>119713</v>
      </c>
      <c r="P67" s="5">
        <f>Table34101112131814[[#This Row],[  70-74]]-Table341011121318[[#This Row],[  70-74]]</f>
        <v>104545</v>
      </c>
      <c r="Q67" s="5">
        <f>Table34101112131814[[#This Row],[  75-79]]-Table341011121318[[#This Row],[  75-79]]</f>
        <v>76513</v>
      </c>
      <c r="R67" s="5">
        <f>Table34101112131814[[#This Row],[  80-84]]-Table341011121318[[#This Row],[  80-84]]</f>
        <v>55435</v>
      </c>
      <c r="S67" s="5">
        <f>Table34101112131814[[#This Row],[  85-89]]-Table341011121318[[#This Row],[  85-89]]</f>
        <v>31595</v>
      </c>
      <c r="T67" s="5">
        <f>Table34101112131814[[#This Row],[  90+]]-Table341011121318[[#This Row],[  90+]]</f>
        <v>21218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TotalFullVacc</vt:lpstr>
      <vt:lpstr>MaoriFullVacc</vt:lpstr>
      <vt:lpstr>NonMaoriFullVacc</vt:lpstr>
      <vt:lpstr>TotalFullVaccAG</vt:lpstr>
      <vt:lpstr>MaoriFullVaccAG</vt:lpstr>
      <vt:lpstr>NonMaoriFullVaccAG</vt:lpstr>
      <vt:lpstr>TotalHSU2021Pop</vt:lpstr>
      <vt:lpstr>MaoriHSU2021Pop</vt:lpstr>
      <vt:lpstr>NonMaoriHSU2021Pop</vt:lpstr>
      <vt:lpstr>TotalHSU2021Unvaccinated</vt:lpstr>
      <vt:lpstr>MaoriHSU2021Unvaccinated</vt:lpstr>
      <vt:lpstr>NonMaoriHSU2021Unvaccinated</vt:lpstr>
      <vt:lpstr>HSU 2021 DHB Pop</vt:lpstr>
      <vt:lpstr>TotalERP2021Pop</vt:lpstr>
      <vt:lpstr>MaoriERP2021Pop</vt:lpstr>
      <vt:lpstr>NonMaoriERP2021Pop</vt:lpstr>
      <vt:lpstr>TotalERP2021Unvaccinated</vt:lpstr>
      <vt:lpstr>MaoriERP2021Unvaccinated</vt:lpstr>
      <vt:lpstr>NonMaoriERP2021Unvaccinated</vt:lpstr>
      <vt:lpstr>ERP 2021 DHB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Diamond</dc:creator>
  <cp:lastModifiedBy>Tori Diamond</cp:lastModifiedBy>
  <dcterms:created xsi:type="dcterms:W3CDTF">2022-05-05T00:04:22Z</dcterms:created>
  <dcterms:modified xsi:type="dcterms:W3CDTF">2022-11-15T22:00:31Z</dcterms:modified>
</cp:coreProperties>
</file>